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FE58B401-AF99-4AA5-B0DD-E197792DE5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ограмма 1" sheetId="1" r:id="rId1"/>
    <sheet name="Программа 2" sheetId="3" r:id="rId2"/>
    <sheet name="Программа 3" sheetId="7" r:id="rId3"/>
    <sheet name="Программа 4" sheetId="8" r:id="rId4"/>
    <sheet name="Приложение 2" sheetId="2" r:id="rId5"/>
    <sheet name="Приложение 3" sheetId="6" r:id="rId6"/>
  </sheets>
  <definedNames>
    <definedName name="_xlnm._FilterDatabase" localSheetId="4" hidden="1">'Приложение 2'!$N$2:$N$289</definedName>
    <definedName name="_xlnm.Print_Area" localSheetId="0">'Программа 1'!$B$1:$G$41</definedName>
    <definedName name="_xlnm.Print_Area" localSheetId="1">'Программа 2'!$B$1:$G$111</definedName>
    <definedName name="_xlnm.Print_Area" localSheetId="2">'Программа 3'!$B$1:$G$108</definedName>
    <definedName name="_xlnm.Print_Area" localSheetId="3">'Программа 4'!$B$1:$G$48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8" i="2" l="1"/>
  <c r="J258" i="2"/>
  <c r="F179" i="2"/>
  <c r="G179" i="2"/>
  <c r="H179" i="2"/>
  <c r="I179" i="2"/>
  <c r="J179" i="2"/>
  <c r="K179" i="2"/>
  <c r="J140" i="2"/>
  <c r="J139" i="2"/>
  <c r="K71" i="2"/>
  <c r="J71" i="2"/>
  <c r="I71" i="2"/>
  <c r="H71" i="2"/>
  <c r="K26" i="2" l="1"/>
  <c r="J26" i="2"/>
  <c r="I26" i="2"/>
  <c r="H26" i="2"/>
  <c r="K34" i="2"/>
  <c r="J34" i="2"/>
  <c r="I34" i="2"/>
  <c r="H34" i="2"/>
  <c r="K47" i="2"/>
  <c r="J47" i="2"/>
  <c r="I47" i="2"/>
  <c r="H47" i="2"/>
  <c r="K60" i="2"/>
  <c r="J60" i="2"/>
  <c r="I60" i="2"/>
  <c r="K63" i="2"/>
  <c r="J63" i="2"/>
  <c r="I63" i="2"/>
  <c r="K79" i="2"/>
  <c r="J79" i="2"/>
  <c r="I79" i="2"/>
  <c r="K90" i="2"/>
  <c r="J90" i="2"/>
  <c r="I90" i="2"/>
  <c r="K96" i="2"/>
  <c r="J96" i="2"/>
  <c r="I96" i="2"/>
  <c r="K104" i="2"/>
  <c r="J104" i="2"/>
  <c r="I104" i="2"/>
  <c r="K132" i="2"/>
  <c r="J132" i="2"/>
  <c r="I132" i="2"/>
  <c r="K148" i="2"/>
  <c r="J148" i="2"/>
  <c r="I148" i="2"/>
  <c r="K156" i="2"/>
  <c r="J156" i="2"/>
  <c r="I156" i="2"/>
  <c r="K164" i="2"/>
  <c r="J164" i="2"/>
  <c r="I164" i="2"/>
  <c r="K167" i="2"/>
  <c r="J167" i="2"/>
  <c r="I167" i="2"/>
  <c r="H167" i="2"/>
  <c r="E46" i="7" s="1"/>
  <c r="K180" i="2"/>
  <c r="J180" i="2"/>
  <c r="I180" i="2"/>
  <c r="K184" i="2"/>
  <c r="J184" i="2"/>
  <c r="I184" i="2"/>
  <c r="F61" i="7" s="1"/>
  <c r="K192" i="2"/>
  <c r="J192" i="2"/>
  <c r="G68" i="7" s="1"/>
  <c r="I192" i="2"/>
  <c r="F68" i="7" s="1"/>
  <c r="I258" i="2"/>
  <c r="F35" i="8"/>
  <c r="K250" i="2"/>
  <c r="J250" i="2"/>
  <c r="G28" i="8" s="1"/>
  <c r="I250" i="2"/>
  <c r="F28" i="8" s="1"/>
  <c r="E35" i="8"/>
  <c r="D35" i="8"/>
  <c r="C35" i="8"/>
  <c r="E28" i="8"/>
  <c r="D28" i="8"/>
  <c r="C28" i="8"/>
  <c r="C95" i="7"/>
  <c r="E68" i="7"/>
  <c r="D68" i="7"/>
  <c r="C68" i="7"/>
  <c r="G61" i="7"/>
  <c r="E61" i="7"/>
  <c r="D61" i="7"/>
  <c r="C61" i="7"/>
  <c r="E53" i="7"/>
  <c r="D53" i="7"/>
  <c r="C53" i="7"/>
  <c r="D46" i="7"/>
  <c r="C46" i="7"/>
  <c r="E32" i="7"/>
  <c r="E22" i="7"/>
  <c r="E39" i="7"/>
  <c r="D39" i="7"/>
  <c r="C39" i="7"/>
  <c r="D32" i="7"/>
  <c r="C32" i="7"/>
  <c r="D22" i="7"/>
  <c r="C22" i="7"/>
  <c r="F46" i="7" l="1"/>
  <c r="G46" i="7"/>
  <c r="G35" i="8"/>
  <c r="C14" i="7"/>
  <c r="F229" i="2" l="1"/>
  <c r="E175" i="2"/>
  <c r="E159" i="2"/>
  <c r="E154" i="2"/>
  <c r="E146" i="2"/>
  <c r="G39" i="2"/>
  <c r="G42" i="2"/>
  <c r="H40" i="2"/>
  <c r="I40" i="2"/>
  <c r="J40" i="2"/>
  <c r="K40" i="2"/>
  <c r="G40" i="2"/>
  <c r="E127" i="2"/>
  <c r="K116" i="2"/>
  <c r="J116" i="2"/>
  <c r="I116" i="2"/>
  <c r="H116" i="2"/>
  <c r="G116" i="2"/>
  <c r="F116" i="2"/>
  <c r="E116" i="2"/>
  <c r="K59" i="2"/>
  <c r="J59" i="2"/>
  <c r="I59" i="2"/>
  <c r="H59" i="2"/>
  <c r="G59" i="2"/>
  <c r="F59" i="2"/>
  <c r="E59" i="2"/>
  <c r="E55" i="2"/>
  <c r="E58" i="2"/>
  <c r="G51" i="2"/>
  <c r="F51" i="2"/>
  <c r="K52" i="2"/>
  <c r="K51" i="2" s="1"/>
  <c r="J52" i="2"/>
  <c r="J51" i="2" s="1"/>
  <c r="I52" i="2"/>
  <c r="I51" i="2" s="1"/>
  <c r="H52" i="2"/>
  <c r="H51" i="2" s="1"/>
  <c r="G52" i="2"/>
  <c r="F52" i="2"/>
  <c r="E52" i="2"/>
  <c r="E51" i="2"/>
  <c r="D21" i="8" l="1"/>
  <c r="D14" i="8" s="1"/>
  <c r="E21" i="8"/>
  <c r="E14" i="8" s="1"/>
  <c r="F21" i="8"/>
  <c r="G21" i="8"/>
  <c r="C21" i="8"/>
  <c r="D95" i="7"/>
  <c r="E95" i="7"/>
  <c r="F95" i="7"/>
  <c r="G95" i="7"/>
  <c r="D88" i="7"/>
  <c r="E88" i="7"/>
  <c r="F88" i="7"/>
  <c r="G88" i="7"/>
  <c r="C88" i="7"/>
  <c r="D81" i="7"/>
  <c r="E81" i="7"/>
  <c r="F81" i="7"/>
  <c r="G81" i="7"/>
  <c r="C81" i="7"/>
  <c r="D74" i="7"/>
  <c r="D77" i="7" s="1"/>
  <c r="E74" i="7"/>
  <c r="E77" i="7" s="1"/>
  <c r="F74" i="7"/>
  <c r="F77" i="7" s="1"/>
  <c r="G74" i="7"/>
  <c r="G77" i="7" s="1"/>
  <c r="C74" i="7"/>
  <c r="D91" i="3"/>
  <c r="E91" i="3"/>
  <c r="F91" i="3"/>
  <c r="G91" i="3"/>
  <c r="C91" i="3"/>
  <c r="D84" i="3"/>
  <c r="E84" i="3"/>
  <c r="F84" i="3"/>
  <c r="G84" i="3"/>
  <c r="C84" i="3"/>
  <c r="D78" i="3"/>
  <c r="E78" i="3"/>
  <c r="F78" i="3"/>
  <c r="G78" i="3"/>
  <c r="C78" i="3"/>
  <c r="D71" i="3"/>
  <c r="E71" i="3"/>
  <c r="F71" i="3"/>
  <c r="G71" i="3"/>
  <c r="C71" i="3"/>
  <c r="D63" i="3"/>
  <c r="E63" i="3"/>
  <c r="F63" i="3"/>
  <c r="G63" i="3"/>
  <c r="C63" i="3"/>
  <c r="D56" i="3"/>
  <c r="E56" i="3"/>
  <c r="F56" i="3"/>
  <c r="G56" i="3"/>
  <c r="C56" i="3"/>
  <c r="D49" i="3"/>
  <c r="E49" i="3"/>
  <c r="F49" i="3"/>
  <c r="G49" i="3"/>
  <c r="C49" i="3"/>
  <c r="D39" i="3"/>
  <c r="E39" i="3"/>
  <c r="F39" i="3"/>
  <c r="G39" i="3"/>
  <c r="C39" i="3"/>
  <c r="D23" i="3"/>
  <c r="E23" i="3"/>
  <c r="F23" i="3"/>
  <c r="G23" i="3"/>
  <c r="C23" i="3"/>
  <c r="C32" i="1"/>
  <c r="D29" i="1"/>
  <c r="E29" i="1"/>
  <c r="F29" i="1"/>
  <c r="G29" i="1"/>
  <c r="C29" i="1"/>
  <c r="D21" i="1"/>
  <c r="E21" i="1"/>
  <c r="F21" i="1"/>
  <c r="G21" i="1"/>
  <c r="C21" i="1"/>
  <c r="C13" i="1" s="1"/>
  <c r="C24" i="1" l="1"/>
  <c r="E178" i="2" l="1"/>
  <c r="E162" i="2"/>
  <c r="E130" i="2"/>
  <c r="F58" i="2"/>
  <c r="F55" i="2"/>
  <c r="I18" i="2" l="1"/>
  <c r="F231" i="2"/>
  <c r="F236" i="2" s="1"/>
  <c r="G231" i="2"/>
  <c r="G236" i="2" s="1"/>
  <c r="H231" i="2"/>
  <c r="H236" i="2" s="1"/>
  <c r="I231" i="2"/>
  <c r="I236" i="2" s="1"/>
  <c r="J231" i="2"/>
  <c r="J236" i="2" s="1"/>
  <c r="K231" i="2"/>
  <c r="K236" i="2" s="1"/>
  <c r="F232" i="2"/>
  <c r="G232" i="2"/>
  <c r="H232" i="2"/>
  <c r="I232" i="2"/>
  <c r="J232" i="2"/>
  <c r="K232" i="2"/>
  <c r="F233" i="2"/>
  <c r="G233" i="2"/>
  <c r="H233" i="2"/>
  <c r="I233" i="2"/>
  <c r="J233" i="2"/>
  <c r="K233" i="2"/>
  <c r="F234" i="2"/>
  <c r="F237" i="2" s="1"/>
  <c r="G234" i="2"/>
  <c r="G237" i="2" s="1"/>
  <c r="H234" i="2"/>
  <c r="H237" i="2" s="1"/>
  <c r="I234" i="2"/>
  <c r="I237" i="2" s="1"/>
  <c r="J234" i="2"/>
  <c r="J237" i="2" s="1"/>
  <c r="K234" i="2"/>
  <c r="K237" i="2" s="1"/>
  <c r="E232" i="2"/>
  <c r="E233" i="2"/>
  <c r="E234" i="2"/>
  <c r="E237" i="2" s="1"/>
  <c r="E231" i="2"/>
  <c r="E236" i="2" s="1"/>
  <c r="E235" i="2" s="1"/>
  <c r="F163" i="2"/>
  <c r="G163" i="2"/>
  <c r="H163" i="2"/>
  <c r="I163" i="2"/>
  <c r="J163" i="2"/>
  <c r="K163" i="2"/>
  <c r="F155" i="2"/>
  <c r="G155" i="2"/>
  <c r="H155" i="2"/>
  <c r="I155" i="2"/>
  <c r="J155" i="2"/>
  <c r="K155" i="2"/>
  <c r="F147" i="2"/>
  <c r="F146" i="2"/>
  <c r="F143" i="2"/>
  <c r="G147" i="2"/>
  <c r="H147" i="2"/>
  <c r="I147" i="2"/>
  <c r="J147" i="2"/>
  <c r="K147" i="2"/>
  <c r="G143" i="2"/>
  <c r="H143" i="2"/>
  <c r="I143" i="2"/>
  <c r="F22" i="7" s="1"/>
  <c r="J143" i="2"/>
  <c r="G22" i="7" s="1"/>
  <c r="K143" i="2"/>
  <c r="G146" i="2"/>
  <c r="H146" i="2"/>
  <c r="I146" i="2"/>
  <c r="J146" i="2"/>
  <c r="K146" i="2"/>
  <c r="F131" i="2"/>
  <c r="F130" i="2"/>
  <c r="F42" i="2" s="1"/>
  <c r="F45" i="2" s="1"/>
  <c r="F127" i="2"/>
  <c r="F39" i="2" s="1"/>
  <c r="G109" i="2"/>
  <c r="H68" i="2"/>
  <c r="F136" i="2"/>
  <c r="G136" i="2"/>
  <c r="H136" i="2"/>
  <c r="I136" i="2"/>
  <c r="J136" i="2"/>
  <c r="K136" i="2"/>
  <c r="F137" i="2"/>
  <c r="G137" i="2"/>
  <c r="G265" i="2" s="1"/>
  <c r="H137" i="2"/>
  <c r="I137" i="2"/>
  <c r="I265" i="2" s="1"/>
  <c r="J137" i="2"/>
  <c r="K137" i="2"/>
  <c r="K265" i="2" s="1"/>
  <c r="E136" i="2"/>
  <c r="E137" i="2"/>
  <c r="E138" i="2"/>
  <c r="F15" i="2"/>
  <c r="G15" i="2"/>
  <c r="H15" i="2"/>
  <c r="I15" i="2"/>
  <c r="J15" i="2"/>
  <c r="K15" i="2"/>
  <c r="F16" i="2"/>
  <c r="G16" i="2"/>
  <c r="H16" i="2"/>
  <c r="I16" i="2"/>
  <c r="J16" i="2"/>
  <c r="K16" i="2"/>
  <c r="F17" i="2"/>
  <c r="F265" i="2" s="1"/>
  <c r="G17" i="2"/>
  <c r="H17" i="2"/>
  <c r="H265" i="2" s="1"/>
  <c r="I17" i="2"/>
  <c r="J17" i="2"/>
  <c r="J265" i="2" s="1"/>
  <c r="K17" i="2"/>
  <c r="F18" i="2"/>
  <c r="G18" i="2"/>
  <c r="H18" i="2"/>
  <c r="J18" i="2"/>
  <c r="K18" i="2"/>
  <c r="E16" i="2"/>
  <c r="E17" i="2"/>
  <c r="E265" i="2" s="1"/>
  <c r="E18" i="2"/>
  <c r="E21" i="2" s="1"/>
  <c r="E15" i="2"/>
  <c r="F40" i="2"/>
  <c r="F41" i="2"/>
  <c r="G41" i="2"/>
  <c r="H41" i="2"/>
  <c r="I41" i="2"/>
  <c r="J41" i="2"/>
  <c r="K41" i="2"/>
  <c r="E40" i="2"/>
  <c r="E41" i="2"/>
  <c r="E42" i="2"/>
  <c r="E45" i="2" s="1"/>
  <c r="E39" i="2"/>
  <c r="F29" i="2"/>
  <c r="F264" i="2" l="1"/>
  <c r="K264" i="2"/>
  <c r="I264" i="2"/>
  <c r="G264" i="2"/>
  <c r="F43" i="2"/>
  <c r="F44" i="2"/>
  <c r="J264" i="2"/>
  <c r="H264" i="2"/>
  <c r="K235" i="2"/>
  <c r="E264" i="2"/>
  <c r="E141" i="2"/>
  <c r="E266" i="2"/>
  <c r="E44" i="2"/>
  <c r="E43" i="2"/>
  <c r="E269" i="2" l="1"/>
  <c r="K109" i="2"/>
  <c r="J109" i="2"/>
  <c r="I109" i="2"/>
  <c r="H109" i="2"/>
  <c r="F109" i="2"/>
  <c r="E109" i="2"/>
  <c r="K101" i="2"/>
  <c r="J101" i="2"/>
  <c r="I101" i="2"/>
  <c r="H101" i="2"/>
  <c r="G101" i="2"/>
  <c r="F101" i="2"/>
  <c r="F99" i="2" s="1"/>
  <c r="E101" i="2"/>
  <c r="K253" i="2"/>
  <c r="J253" i="2"/>
  <c r="I253" i="2"/>
  <c r="H253" i="2"/>
  <c r="G253" i="2"/>
  <c r="F253" i="2"/>
  <c r="E253" i="2"/>
  <c r="E189" i="2"/>
  <c r="F189" i="2"/>
  <c r="G189" i="2"/>
  <c r="H189" i="2"/>
  <c r="I189" i="2"/>
  <c r="J189" i="2"/>
  <c r="K189" i="2"/>
  <c r="E197" i="2"/>
  <c r="F197" i="2"/>
  <c r="G197" i="2"/>
  <c r="H197" i="2"/>
  <c r="I197" i="2"/>
  <c r="J197" i="2"/>
  <c r="K197" i="2"/>
  <c r="K261" i="2"/>
  <c r="K259" i="2" s="1"/>
  <c r="J261" i="2"/>
  <c r="I261" i="2"/>
  <c r="H261" i="2"/>
  <c r="G261" i="2"/>
  <c r="F261" i="2"/>
  <c r="E261" i="2"/>
  <c r="K178" i="2"/>
  <c r="J178" i="2"/>
  <c r="I178" i="2"/>
  <c r="H178" i="2"/>
  <c r="G178" i="2"/>
  <c r="K175" i="2"/>
  <c r="J175" i="2"/>
  <c r="G53" i="7" s="1"/>
  <c r="I175" i="2"/>
  <c r="F53" i="7" s="1"/>
  <c r="H175" i="2"/>
  <c r="G175" i="2"/>
  <c r="F175" i="2"/>
  <c r="F178" i="2"/>
  <c r="K162" i="2"/>
  <c r="J162" i="2"/>
  <c r="I162" i="2"/>
  <c r="H162" i="2"/>
  <c r="G162" i="2"/>
  <c r="K159" i="2"/>
  <c r="J159" i="2"/>
  <c r="G39" i="7" s="1"/>
  <c r="I159" i="2"/>
  <c r="F39" i="7" s="1"/>
  <c r="H159" i="2"/>
  <c r="G159" i="2"/>
  <c r="F162" i="2"/>
  <c r="K58" i="2"/>
  <c r="J58" i="2"/>
  <c r="I58" i="2"/>
  <c r="H58" i="2"/>
  <c r="G58" i="2"/>
  <c r="K55" i="2"/>
  <c r="J55" i="2"/>
  <c r="I55" i="2"/>
  <c r="H55" i="2"/>
  <c r="G55" i="2"/>
  <c r="K130" i="2"/>
  <c r="J130" i="2"/>
  <c r="I130" i="2"/>
  <c r="H130" i="2"/>
  <c r="G130" i="2"/>
  <c r="K127" i="2"/>
  <c r="J127" i="2"/>
  <c r="I127" i="2"/>
  <c r="H127" i="2"/>
  <c r="G127" i="2"/>
  <c r="E115" i="2"/>
  <c r="F98" i="3" l="1"/>
  <c r="D98" i="3"/>
  <c r="D30" i="3"/>
  <c r="H39" i="2"/>
  <c r="F30" i="3"/>
  <c r="J39" i="2"/>
  <c r="G45" i="2"/>
  <c r="I42" i="2"/>
  <c r="I45" i="2" s="1"/>
  <c r="K42" i="2"/>
  <c r="K45" i="2" s="1"/>
  <c r="C98" i="3"/>
  <c r="E98" i="3"/>
  <c r="G98" i="3"/>
  <c r="C30" i="3"/>
  <c r="E30" i="3"/>
  <c r="I39" i="2"/>
  <c r="G30" i="3"/>
  <c r="K39" i="2"/>
  <c r="H42" i="2"/>
  <c r="H45" i="2" s="1"/>
  <c r="J42" i="2"/>
  <c r="J45" i="2" s="1"/>
  <c r="K19" i="2"/>
  <c r="G195" i="2"/>
  <c r="H251" i="2"/>
  <c r="H259" i="2"/>
  <c r="K43" i="2" l="1"/>
  <c r="K44" i="2"/>
  <c r="I43" i="2"/>
  <c r="I44" i="2"/>
  <c r="G44" i="2"/>
  <c r="G43" i="2"/>
  <c r="J44" i="2"/>
  <c r="J43" i="2"/>
  <c r="H43" i="2"/>
  <c r="H44" i="2"/>
  <c r="E229" i="2"/>
  <c r="E227" i="2"/>
  <c r="E221" i="2"/>
  <c r="E219" i="2"/>
  <c r="E213" i="2"/>
  <c r="E211" i="2"/>
  <c r="E204" i="2"/>
  <c r="E203" i="2" s="1"/>
  <c r="E124" i="2"/>
  <c r="E123" i="2" s="1"/>
  <c r="C52" i="3" l="1"/>
  <c r="E32" i="1"/>
  <c r="F32" i="1"/>
  <c r="G32" i="1"/>
  <c r="E24" i="1"/>
  <c r="F24" i="1"/>
  <c r="G24" i="1"/>
  <c r="E42" i="3"/>
  <c r="F42" i="3"/>
  <c r="G42" i="3"/>
  <c r="E26" i="3"/>
  <c r="F26" i="3"/>
  <c r="G26" i="3"/>
  <c r="C15" i="8" l="1"/>
  <c r="I259" i="2" l="1"/>
  <c r="J259" i="2"/>
  <c r="I251" i="2"/>
  <c r="E31" i="8" s="1"/>
  <c r="J251" i="2"/>
  <c r="F31" i="8" s="1"/>
  <c r="I244" i="2"/>
  <c r="I243" i="2" s="1"/>
  <c r="J244" i="2"/>
  <c r="J243" i="2" s="1"/>
  <c r="I235" i="2"/>
  <c r="J235" i="2"/>
  <c r="I204" i="2"/>
  <c r="I203" i="2" s="1"/>
  <c r="J204" i="2"/>
  <c r="J203" i="2" s="1"/>
  <c r="I195" i="2"/>
  <c r="J195" i="2"/>
  <c r="F70" i="7" s="1"/>
  <c r="I187" i="2"/>
  <c r="J187" i="2"/>
  <c r="I172" i="2"/>
  <c r="I171" i="2" s="1"/>
  <c r="J172" i="2"/>
  <c r="J171" i="2" s="1"/>
  <c r="I131" i="2"/>
  <c r="E101" i="3" s="1"/>
  <c r="J131" i="2"/>
  <c r="I124" i="2"/>
  <c r="J124" i="2"/>
  <c r="I123" i="2"/>
  <c r="J123" i="2"/>
  <c r="J107" i="2"/>
  <c r="F80" i="3" s="1"/>
  <c r="I107" i="2"/>
  <c r="E80" i="3" s="1"/>
  <c r="I99" i="2"/>
  <c r="J99" i="2"/>
  <c r="I93" i="2"/>
  <c r="J93" i="2"/>
  <c r="I91" i="2"/>
  <c r="J91" i="2"/>
  <c r="I84" i="2"/>
  <c r="J84" i="2"/>
  <c r="I83" i="2"/>
  <c r="J83" i="2"/>
  <c r="I76" i="2"/>
  <c r="I75" i="2" s="1"/>
  <c r="J76" i="2"/>
  <c r="J75" i="2" s="1"/>
  <c r="I68" i="2"/>
  <c r="J68" i="2"/>
  <c r="I67" i="2"/>
  <c r="J67" i="2"/>
  <c r="I37" i="2"/>
  <c r="J37" i="2"/>
  <c r="I35" i="2"/>
  <c r="J35" i="2"/>
  <c r="I29" i="2"/>
  <c r="J29" i="2"/>
  <c r="I27" i="2"/>
  <c r="J27" i="2"/>
  <c r="I21" i="2"/>
  <c r="J21" i="2"/>
  <c r="E38" i="8"/>
  <c r="F38" i="8"/>
  <c r="E24" i="8"/>
  <c r="F24" i="8"/>
  <c r="E98" i="7"/>
  <c r="F98" i="7"/>
  <c r="E91" i="7"/>
  <c r="F91" i="7"/>
  <c r="E84" i="7"/>
  <c r="F84" i="7"/>
  <c r="E70" i="7"/>
  <c r="E56" i="7"/>
  <c r="F56" i="7"/>
  <c r="F49" i="7"/>
  <c r="E42" i="7"/>
  <c r="F42" i="7"/>
  <c r="E25" i="7"/>
  <c r="F25" i="7"/>
  <c r="F101" i="3"/>
  <c r="E94" i="3"/>
  <c r="F94" i="3"/>
  <c r="E87" i="3"/>
  <c r="F87" i="3"/>
  <c r="E66" i="3"/>
  <c r="F66" i="3"/>
  <c r="E59" i="3"/>
  <c r="F59" i="3"/>
  <c r="E52" i="3"/>
  <c r="F52" i="3"/>
  <c r="E13" i="1"/>
  <c r="E16" i="1" s="1"/>
  <c r="F13" i="1"/>
  <c r="F16" i="1" s="1"/>
  <c r="E49" i="7" l="1"/>
  <c r="F15" i="3"/>
  <c r="E15" i="3"/>
  <c r="F73" i="3"/>
  <c r="E73" i="3"/>
  <c r="F15" i="7"/>
  <c r="E15" i="7"/>
  <c r="F63" i="7"/>
  <c r="E63" i="7"/>
  <c r="F33" i="3"/>
  <c r="F14" i="3"/>
  <c r="E33" i="3"/>
  <c r="E14" i="3"/>
  <c r="J19" i="2"/>
  <c r="I19" i="2"/>
  <c r="F259" i="2"/>
  <c r="G259" i="2"/>
  <c r="E259" i="2"/>
  <c r="F251" i="2"/>
  <c r="G251" i="2"/>
  <c r="C14" i="8" s="1"/>
  <c r="F14" i="8" s="1"/>
  <c r="G14" i="8" s="1"/>
  <c r="K251" i="2"/>
  <c r="E251" i="2"/>
  <c r="F244" i="2"/>
  <c r="F243" i="2" s="1"/>
  <c r="G244" i="2"/>
  <c r="G243" i="2" s="1"/>
  <c r="H244" i="2"/>
  <c r="H243" i="2" s="1"/>
  <c r="K244" i="2"/>
  <c r="K243" i="2" s="1"/>
  <c r="E244" i="2"/>
  <c r="E243" i="2" s="1"/>
  <c r="F227" i="2"/>
  <c r="F213" i="2"/>
  <c r="F211" i="2" s="1"/>
  <c r="G204" i="2"/>
  <c r="H204" i="2"/>
  <c r="K204" i="2"/>
  <c r="F204" i="2"/>
  <c r="F203" i="2" s="1"/>
  <c r="F195" i="2"/>
  <c r="H195" i="2"/>
  <c r="K195" i="2"/>
  <c r="E195" i="2"/>
  <c r="F187" i="2"/>
  <c r="G187" i="2"/>
  <c r="C15" i="7" s="1"/>
  <c r="H187" i="2"/>
  <c r="E187" i="2"/>
  <c r="F172" i="2"/>
  <c r="F171" i="2" s="1"/>
  <c r="G172" i="2"/>
  <c r="G171" i="2" s="1"/>
  <c r="H172" i="2"/>
  <c r="H171" i="2" s="1"/>
  <c r="K172" i="2"/>
  <c r="K171" i="2" s="1"/>
  <c r="E172" i="2"/>
  <c r="E171" i="2" s="1"/>
  <c r="F93" i="2"/>
  <c r="G93" i="2"/>
  <c r="H93" i="2"/>
  <c r="K93" i="2"/>
  <c r="E93" i="2"/>
  <c r="E91" i="2" s="1"/>
  <c r="F84" i="2"/>
  <c r="G84" i="2"/>
  <c r="H84" i="2"/>
  <c r="K84" i="2"/>
  <c r="E84" i="2"/>
  <c r="F76" i="2"/>
  <c r="G76" i="2"/>
  <c r="H76" i="2"/>
  <c r="K76" i="2"/>
  <c r="E76" i="2"/>
  <c r="F68" i="2"/>
  <c r="G68" i="2"/>
  <c r="K68" i="2"/>
  <c r="E68" i="2"/>
  <c r="F21" i="2"/>
  <c r="G21" i="2"/>
  <c r="H21" i="2"/>
  <c r="E29" i="2"/>
  <c r="F37" i="2"/>
  <c r="G37" i="2"/>
  <c r="H37" i="2"/>
  <c r="K37" i="2"/>
  <c r="E37" i="2"/>
  <c r="G29" i="2"/>
  <c r="H29" i="2"/>
  <c r="K29" i="2"/>
  <c r="G124" i="2"/>
  <c r="H124" i="2"/>
  <c r="K124" i="2"/>
  <c r="F124" i="2"/>
  <c r="F123" i="2" s="1"/>
  <c r="K187" i="2"/>
  <c r="G15" i="7" s="1"/>
  <c r="E179" i="2" l="1"/>
  <c r="E163" i="2"/>
  <c r="D15" i="7"/>
  <c r="K21" i="2"/>
  <c r="H19" i="2"/>
  <c r="G19" i="2"/>
  <c r="F19" i="2"/>
  <c r="E19" i="2"/>
  <c r="F235" i="2"/>
  <c r="G235" i="2"/>
  <c r="H235" i="2"/>
  <c r="K203" i="2"/>
  <c r="H203" i="2"/>
  <c r="G203" i="2"/>
  <c r="K131" i="2"/>
  <c r="H131" i="2"/>
  <c r="G131" i="2"/>
  <c r="E131" i="2"/>
  <c r="K123" i="2"/>
  <c r="H123" i="2"/>
  <c r="G123" i="2"/>
  <c r="K107" i="2"/>
  <c r="H107" i="2"/>
  <c r="G107" i="2"/>
  <c r="F107" i="2"/>
  <c r="E107" i="2"/>
  <c r="K99" i="2"/>
  <c r="G15" i="3" s="1"/>
  <c r="H99" i="2"/>
  <c r="D15" i="3" s="1"/>
  <c r="G99" i="2"/>
  <c r="C15" i="3" s="1"/>
  <c r="E99" i="2"/>
  <c r="K91" i="2"/>
  <c r="H91" i="2"/>
  <c r="G91" i="2"/>
  <c r="F91" i="2"/>
  <c r="K83" i="2"/>
  <c r="H83" i="2"/>
  <c r="G83" i="2"/>
  <c r="F83" i="2"/>
  <c r="E83" i="2"/>
  <c r="K75" i="2"/>
  <c r="H75" i="2"/>
  <c r="G75" i="2"/>
  <c r="F75" i="2"/>
  <c r="E75" i="2"/>
  <c r="K67" i="2"/>
  <c r="H67" i="2"/>
  <c r="G67" i="2"/>
  <c r="F67" i="2"/>
  <c r="E67" i="2"/>
  <c r="F35" i="2"/>
  <c r="G35" i="2"/>
  <c r="H35" i="2"/>
  <c r="K35" i="2"/>
  <c r="E35" i="2"/>
  <c r="F27" i="2"/>
  <c r="G27" i="2"/>
  <c r="H27" i="2"/>
  <c r="K27" i="2"/>
  <c r="E27" i="2"/>
  <c r="D14" i="3" l="1"/>
  <c r="C14" i="3"/>
  <c r="G33" i="3"/>
  <c r="G14" i="3"/>
  <c r="D15" i="8"/>
  <c r="G38" i="8"/>
  <c r="D38" i="8"/>
  <c r="C38" i="8"/>
  <c r="G31" i="8"/>
  <c r="D31" i="8"/>
  <c r="C31" i="8"/>
  <c r="G24" i="8"/>
  <c r="D24" i="8"/>
  <c r="C24" i="8"/>
  <c r="C17" i="8"/>
  <c r="G98" i="7"/>
  <c r="D98" i="7"/>
  <c r="C98" i="7"/>
  <c r="G91" i="7"/>
  <c r="D91" i="7"/>
  <c r="C91" i="7"/>
  <c r="G84" i="7"/>
  <c r="D84" i="7"/>
  <c r="C84" i="7"/>
  <c r="C77" i="7"/>
  <c r="G70" i="7"/>
  <c r="D70" i="7"/>
  <c r="C70" i="7"/>
  <c r="G63" i="7"/>
  <c r="D63" i="7"/>
  <c r="C63" i="7"/>
  <c r="G56" i="7"/>
  <c r="D56" i="7"/>
  <c r="C56" i="7"/>
  <c r="G49" i="7"/>
  <c r="D49" i="7"/>
  <c r="C49" i="7"/>
  <c r="G42" i="7"/>
  <c r="D42" i="7"/>
  <c r="C42" i="7"/>
  <c r="G25" i="7"/>
  <c r="D25" i="7"/>
  <c r="C25" i="7"/>
  <c r="G101" i="3"/>
  <c r="D101" i="3"/>
  <c r="C101" i="3"/>
  <c r="G94" i="3"/>
  <c r="D94" i="3"/>
  <c r="C94" i="3"/>
  <c r="G87" i="3"/>
  <c r="D87" i="3"/>
  <c r="C87" i="3"/>
  <c r="G80" i="3"/>
  <c r="D80" i="3"/>
  <c r="C80" i="3"/>
  <c r="G73" i="3"/>
  <c r="D73" i="3"/>
  <c r="C73" i="3"/>
  <c r="G66" i="3"/>
  <c r="D66" i="3"/>
  <c r="C66" i="3"/>
  <c r="G59" i="3"/>
  <c r="D59" i="3"/>
  <c r="C59" i="3"/>
  <c r="G52" i="3"/>
  <c r="D52" i="3"/>
  <c r="D42" i="3"/>
  <c r="C42" i="3"/>
  <c r="D13" i="1"/>
  <c r="G13" i="1"/>
  <c r="G15" i="8" l="1"/>
  <c r="E15" i="8"/>
  <c r="D33" i="3"/>
  <c r="C33" i="3"/>
  <c r="C26" i="3"/>
  <c r="F15" i="8" l="1"/>
  <c r="F17" i="8" s="1"/>
  <c r="E17" i="8"/>
  <c r="D17" i="8"/>
  <c r="G17" i="8"/>
  <c r="D32" i="1"/>
  <c r="D24" i="1"/>
  <c r="D26" i="3" l="1"/>
  <c r="D16" i="1" l="1"/>
  <c r="G16" i="1"/>
  <c r="C16" i="1"/>
  <c r="C17" i="3" l="1"/>
  <c r="E17" i="3" l="1"/>
  <c r="F17" i="3"/>
  <c r="D17" i="3"/>
  <c r="G17" i="3" l="1"/>
  <c r="F159" i="2" l="1"/>
  <c r="J154" i="2"/>
  <c r="J138" i="2" s="1"/>
  <c r="F154" i="2"/>
  <c r="F138" i="2" s="1"/>
  <c r="F266" i="2" s="1"/>
  <c r="H154" i="2"/>
  <c r="H138" i="2"/>
  <c r="H141" i="2" s="1"/>
  <c r="K140" i="2"/>
  <c r="G140" i="2"/>
  <c r="H140" i="2"/>
  <c r="K154" i="2"/>
  <c r="K138" i="2" s="1"/>
  <c r="I154" i="2"/>
  <c r="I138" i="2" s="1"/>
  <c r="G154" i="2"/>
  <c r="G138" i="2" s="1"/>
  <c r="I140" i="2"/>
  <c r="F151" i="2"/>
  <c r="F140" i="2"/>
  <c r="J151" i="2"/>
  <c r="G32" i="7" s="1"/>
  <c r="I151" i="2"/>
  <c r="F32" i="7" s="1"/>
  <c r="G151" i="2"/>
  <c r="K151" i="2"/>
  <c r="H151" i="2"/>
  <c r="J135" i="2" l="1"/>
  <c r="J263" i="2" s="1"/>
  <c r="I135" i="2"/>
  <c r="I263" i="2" s="1"/>
  <c r="D14" i="7"/>
  <c r="D17" i="7" s="1"/>
  <c r="D35" i="7"/>
  <c r="G14" i="7"/>
  <c r="G17" i="7" s="1"/>
  <c r="G35" i="7"/>
  <c r="H135" i="2"/>
  <c r="H263" i="2" s="1"/>
  <c r="H268" i="2" s="1"/>
  <c r="K135" i="2"/>
  <c r="K263" i="2" s="1"/>
  <c r="K268" i="2" s="1"/>
  <c r="G135" i="2"/>
  <c r="G263" i="2" s="1"/>
  <c r="G268" i="2" s="1"/>
  <c r="F35" i="7"/>
  <c r="F14" i="7"/>
  <c r="F17" i="7" s="1"/>
  <c r="F135" i="2"/>
  <c r="F263" i="2" s="1"/>
  <c r="F268" i="2" s="1"/>
  <c r="H139" i="2"/>
  <c r="I268" i="2"/>
  <c r="J268" i="2"/>
  <c r="G141" i="2"/>
  <c r="G139" i="2" s="1"/>
  <c r="G266" i="2"/>
  <c r="K266" i="2"/>
  <c r="K269" i="2" s="1"/>
  <c r="K141" i="2"/>
  <c r="K139" i="2" s="1"/>
  <c r="J266" i="2"/>
  <c r="J269" i="2" s="1"/>
  <c r="J141" i="2"/>
  <c r="I141" i="2"/>
  <c r="I139" i="2" s="1"/>
  <c r="I266" i="2"/>
  <c r="I269" i="2" s="1"/>
  <c r="F141" i="2"/>
  <c r="F139" i="2" s="1"/>
  <c r="F269" i="2"/>
  <c r="H266" i="2"/>
  <c r="J267" i="2" l="1"/>
  <c r="C17" i="7"/>
  <c r="C35" i="7"/>
  <c r="E35" i="7"/>
  <c r="E14" i="7"/>
  <c r="E17" i="7" s="1"/>
  <c r="I267" i="2"/>
  <c r="H269" i="2"/>
  <c r="F267" i="2"/>
  <c r="G269" i="2"/>
  <c r="G267" i="2" s="1"/>
  <c r="K267" i="2"/>
  <c r="H267" i="2"/>
  <c r="E143" i="2"/>
  <c r="E147" i="2"/>
  <c r="E151" i="2"/>
  <c r="E135" i="2" s="1"/>
  <c r="E155" i="2"/>
  <c r="E140" i="2" l="1"/>
  <c r="E139" i="2" s="1"/>
  <c r="E263" i="2"/>
  <c r="E268" i="2" s="1"/>
  <c r="E267" i="2" s="1"/>
</calcChain>
</file>

<file path=xl/sharedStrings.xml><?xml version="1.0" encoding="utf-8"?>
<sst xmlns="http://schemas.openxmlformats.org/spreadsheetml/2006/main" count="685" uniqueCount="252">
  <si>
    <t>Приложение 1</t>
  </si>
  <si>
    <t>к Инструкции по формированию,</t>
  </si>
  <si>
    <t>рассмотрению и исполнению</t>
  </si>
  <si>
    <t>среднесрочных стратегий</t>
  </si>
  <si>
    <t>бюджетных расходов</t>
  </si>
  <si>
    <t>Краткое обоснование новой инициативы (необходимость и общественная полезность, ссылка на стратегию национального уровня/инициативу Президента, Кабинета Министров, отраслевую статегию развития)</t>
  </si>
  <si>
    <t>Наименование и код бюджетной программы</t>
  </si>
  <si>
    <t>Средства финансирования</t>
  </si>
  <si>
    <t>1. Бюджетные средства</t>
  </si>
  <si>
    <t>2. Специальные средства</t>
  </si>
  <si>
    <t>3. Государственные инвестиции</t>
  </si>
  <si>
    <t>Индикаторы результативности:</t>
  </si>
  <si>
    <t>АНАЛИЗ</t>
  </si>
  <si>
    <t>Приложение 2</t>
  </si>
  <si>
    <t>финансирования бюджетных программ</t>
  </si>
  <si>
    <t>Код ПР</t>
  </si>
  <si>
    <t>Код ИН</t>
  </si>
  <si>
    <t>Бюджетные программы/                    Бюджетные меры</t>
  </si>
  <si>
    <t>Финансирование (по программам/мерам) (тыс.сомов)</t>
  </si>
  <si>
    <t>2023 год</t>
  </si>
  <si>
    <t>2024 год</t>
  </si>
  <si>
    <t>2025 год</t>
  </si>
  <si>
    <t>Ожидаемые результаты</t>
  </si>
  <si>
    <t>001</t>
  </si>
  <si>
    <t>Бюджетные средства</t>
  </si>
  <si>
    <t>Средства, аккумулируемые на специальных счетах</t>
  </si>
  <si>
    <t>Государственные инвестиции (внешнее финансирование)</t>
  </si>
  <si>
    <t>Внебюджетные источники</t>
  </si>
  <si>
    <t>Всего по программе "Управление и администрирование", из них</t>
  </si>
  <si>
    <t>- из республиканского бюджета</t>
  </si>
  <si>
    <t>- из внебюджетных источников</t>
  </si>
  <si>
    <t>002</t>
  </si>
  <si>
    <t>003</t>
  </si>
  <si>
    <t>004</t>
  </si>
  <si>
    <t>Программа 1. Управление и администрирование</t>
  </si>
  <si>
    <t>Индикатор 1. Охват населения обязательным медицинским страхованием (%)</t>
  </si>
  <si>
    <t xml:space="preserve">Программа 2. Предоставление услуг первичной медико-санитарной помощи </t>
  </si>
  <si>
    <t>2. Специальные средства (в т.ч. сооплата)</t>
  </si>
  <si>
    <t>Программа 3. Предоставление услуг организациями здравоохранения на стационарном уровне</t>
  </si>
  <si>
    <t>183</t>
  </si>
  <si>
    <t>Программа 4. Обеспечение доступности медицинских и иных услуг, оказываемых населению сверх объема Программы государственных гарантий</t>
  </si>
  <si>
    <t>Приложение 3</t>
  </si>
  <si>
    <t>ПЕРЕЧЕНЬ</t>
  </si>
  <si>
    <t>документов, прилагаемых  к проекту ССБР</t>
  </si>
  <si>
    <t>1.</t>
  </si>
  <si>
    <t>2.</t>
  </si>
  <si>
    <t>3.</t>
  </si>
  <si>
    <t xml:space="preserve">Текст проекта ССБР. </t>
  </si>
  <si>
    <t>Приложение 1. Анализ финансирования бюджетных программ.</t>
  </si>
  <si>
    <t>Протокол общественного обсуждения проекта ССБР.</t>
  </si>
  <si>
    <t xml:space="preserve">Институциональное усиление Фонда ОМС в качестве Единого плательщика. Координирующее и организационное воздействие на реализацию других программ.    </t>
  </si>
  <si>
    <t>Краткое обоснование инициативы (необходимость и общественная полезность, ссылка на стратегию национального уровня/инициативу Президента, Кабинета Министров, отраслевую статегию развития)</t>
  </si>
  <si>
    <t xml:space="preserve">Средства финансирования </t>
  </si>
  <si>
    <t>1. Бюджетные средства всего</t>
  </si>
  <si>
    <t>Администрирование на региональном уровне</t>
  </si>
  <si>
    <t>Итого всего по Программе 1:</t>
  </si>
  <si>
    <t>Итого по бюджетной мере 01:</t>
  </si>
  <si>
    <t>Итого по бюджетной мере 02:</t>
  </si>
  <si>
    <t>Наименование бюджетной меры 02</t>
  </si>
  <si>
    <t>Наименование бюджетной меры 01</t>
  </si>
  <si>
    <t>Индикатор 1. Средний показатель Индекса доверия населения (%)</t>
  </si>
  <si>
    <t>Раннее выявление, диагностика заболеваний, повышение качества и эффективности предоставления медицинской и профилактической помощи на уровне первичной медико-санитарной помощи</t>
  </si>
  <si>
    <t>Итого всего по Программе 2:</t>
  </si>
  <si>
    <t>Наименование новой бюджетной меры 01</t>
  </si>
  <si>
    <t>Обеспечение доступности экстренной (скорой) медицинской помощи населению республики</t>
  </si>
  <si>
    <t>Индикатор 1. Процент соответствия количества фактически функционирующих бригад СМП к утвержденному количеству (%)</t>
  </si>
  <si>
    <t>Наименование новой бюджетной меры 02</t>
  </si>
  <si>
    <t>Обеспечение доступности базовых медицинских услуг на уровне первичной медико-санитарной помощи населению республики</t>
  </si>
  <si>
    <t>Управление и администрирование отрасли на центральном уровне</t>
  </si>
  <si>
    <t>Наименование новой бюджетной меры 03</t>
  </si>
  <si>
    <t>Обеспечение доступности стоматологической помощи населению в рамках Программы государственных гарантий по обеспечению граждан медико-санитарной помощью (далее-Программа государственных гарантий)</t>
  </si>
  <si>
    <t>Наименование новой бюджетной меры 04</t>
  </si>
  <si>
    <t>Обеспечение доступности медицинской помощи по борьбе с туберкулезом, оказываемой организациями первичной медико-санитарной помощи</t>
  </si>
  <si>
    <t>Итого по бюджетной мере 03:</t>
  </si>
  <si>
    <t>Итого по бюджетной мере 04:</t>
  </si>
  <si>
    <t>Индикатор 1. Количество случаев  туберкулеза, с успешным завершением  лечения на амбулаторном уровне в пилотных ОЗ ПМСП   (ед.)</t>
  </si>
  <si>
    <t>Наименование новой бюджетной меры 05</t>
  </si>
  <si>
    <t>Обеспечение доступа населения республики к льготному лекарственному обеспечению по Программе государственных гарантий (онкологическим больным в терминальной стадии; больным параноидной шизофренией и хроническими бредовыми расстройствами; аффективными расстройствами различного генеза; больным эпилепсией; больным бронхиальной астмой)</t>
  </si>
  <si>
    <t>Индикатор 1. Уровень возмещения реализованных лекарств по рецептам ПГГ на амбулаторном  уровне  (%)</t>
  </si>
  <si>
    <t>Итого по бюджетной мере 05:</t>
  </si>
  <si>
    <t>Наименование новой бюджетной меры 06</t>
  </si>
  <si>
    <t>Итого по бюджетной мере 06:</t>
  </si>
  <si>
    <t>Обеспечение доступа застрахованного населения республики к льготному лекарственному обеспечению по обязательному медицинскому страхованию</t>
  </si>
  <si>
    <t>Индикатор 1. Уровень возмещения реализованных лекарств по рецептам ОМС на амбулаторном  уровне  (%)</t>
  </si>
  <si>
    <t>Наименование новой бюджетной меры 07</t>
  </si>
  <si>
    <t>Итого по бюджетной мере 07:</t>
  </si>
  <si>
    <t>Оказание населению платных медицинских услуг сверх объема Программы государственных гарантий</t>
  </si>
  <si>
    <t>Индикатор 1. Процент фактического исполнения к утвержденному плану (%)</t>
  </si>
  <si>
    <t>Наименование новой бюджетной меры 08</t>
  </si>
  <si>
    <t>Оказание немедицинских и иных услуг организациями здравоохранения, работающими в системе Единого плательщика</t>
  </si>
  <si>
    <t>Итого по бюджетной мере 08:</t>
  </si>
  <si>
    <t>Наименование новой бюджетной меры 09</t>
  </si>
  <si>
    <t>Улучшение качества предоставления медицинской помощи населению путем стимулирования групп семейных врачей за достижение целевых показателей качества деятельности (мероприятия Программы, ориентированной на результат (ПОР))</t>
  </si>
  <si>
    <t>Индикатор 1. Доля ОЗ ПМСП, которым были произведены выплаты по результатам оценки качества с использованием оценочной карты (%)</t>
  </si>
  <si>
    <t>Итого по бюджетной мере 09:</t>
  </si>
  <si>
    <t>Наименование новой бюджетной меры 10</t>
  </si>
  <si>
    <t>Обеспечение материального стимулирования работников системы здравоохранения путем повышения оплаты труда</t>
  </si>
  <si>
    <t>Итого по бюджетной мере 10:</t>
  </si>
  <si>
    <t>Индикатор 1. Процент освоения средств (%)</t>
  </si>
  <si>
    <t>Наименование новой бюджетной меры 11</t>
  </si>
  <si>
    <t>Обеспечение доступности специализированной психиатрической помощи, оказываемой организациями первичной медико-санитарной помощи</t>
  </si>
  <si>
    <t>Итого по бюджетной мере 11:</t>
  </si>
  <si>
    <t>Индикатор 1. Количество управляемых случаев психических расстройств на амбулаторном уровне в пилотных ОЗ ПМСП   (ед.)</t>
  </si>
  <si>
    <t>Повышение качества и эффективности предоставления гарантированной медицинской помощи на стационарном уровне в рамках Программы государственных гарантий</t>
  </si>
  <si>
    <t>Итого всего по Программе 3:</t>
  </si>
  <si>
    <t>Обеспечение доступности медицинских услуг населению республики на уровне стационарной помощи в рамках Программы государственных гарантий</t>
  </si>
  <si>
    <t>Индикатор 1. Доля   населения, получившего лечение по социальным льготам (%)</t>
  </si>
  <si>
    <t>Индикатор 2. Доля детей,получивших лечение в отделениях краткосрочного пребывания, к общему количеству пролеченных детей в общепрофильных стационарах(%)</t>
  </si>
  <si>
    <t>Индикатор 3. Соотношение фактически пролеченных случаев к плану базового года (%)</t>
  </si>
  <si>
    <t>Индикатор 4. Доля   населения, получивших льготное лечение по медицинским показаниям    (%)</t>
  </si>
  <si>
    <t>Обеспечение доступности медицинской помощи по борьбе с туберкулезом, оказываемой организациями здравоохранения стационарного уровня</t>
  </si>
  <si>
    <t>Индикатор 1. Соотношение фактически пролеченных случаев к плану базового года (%)</t>
  </si>
  <si>
    <t>Обеспечение доступности медицинских услуг на уровне специализированной онкологической и гематологической помощи</t>
  </si>
  <si>
    <t xml:space="preserve">Обеспечение доступности медицинских услуг на уровне специализированной кардиохирургической помощи </t>
  </si>
  <si>
    <t>Обеспечение доступности медицинских услуг на уровне специализированной психиатрической помощи</t>
  </si>
  <si>
    <t>Индикатор 1. Количество ОЗ стационарного уровня, в которых проведена оценка качества с использованием Оценочной карты  (абс.число)</t>
  </si>
  <si>
    <t>Индикатор 1. Исполнение бюджета по целевым средствам (%)</t>
  </si>
  <si>
    <t>Мероприятия по проекту "Караван здоровья"</t>
  </si>
  <si>
    <t>Мероприятия по проекту Азиатского банка развития</t>
  </si>
  <si>
    <t>Мероприятия по проекту Всемирного банка</t>
  </si>
  <si>
    <t>Повышение уровня удовлетворенности граждан посредством предоставления расширенного спектра услуг организациями здравоохранения независимо от формы собственности</t>
  </si>
  <si>
    <t>Итого всего по Программе 4:</t>
  </si>
  <si>
    <t>Обеспечение доступа к льготному гемодиализному лечению остронуждающихся пациентов с терминальной стадией хронической почечной недостаточности пятой стадии</t>
  </si>
  <si>
    <t>Индикатор 1. Количество пациентов с терминальной стадией хронической почечной недостаточности, получающих платное лечение в частных медицинских центрах и ожидающих перевода на полный бюджетный гемодиализ в государственных организациях здравоохранения, а также в целях сокращения бремени затрат пациентами при получении услуг гемодиализа   (чел.)</t>
  </si>
  <si>
    <t>Индикатор 1. Доля обеспечения финансовой стабильности в объеме не менее месячного финансирования от общего объема средств, направляемых на финансирование медицинских и профилактических услуг, предоставляемых организациями здравоохранения (%)</t>
  </si>
  <si>
    <t>Обеспечение финансовой устойчивости и надлежащего функционирования организаций здравоохранения (формирование страхового запаса)</t>
  </si>
  <si>
    <t>Поддержка, развитие и материально-техническое оснащение организаций здравоохранения</t>
  </si>
  <si>
    <t>Индикатор 1. Доля, направляемая на поддержку и развитие здравоохранения для организаций здравоохранения (%)</t>
  </si>
  <si>
    <t>Наименование бюджетной меры 09</t>
  </si>
  <si>
    <t>Бюджетная мера 01. Управление и администрирование отрасли на центральном уровне</t>
  </si>
  <si>
    <t>Бюджетная мера 02. Администрирование на региональном уровне</t>
  </si>
  <si>
    <t>Бюджетная мера 01. Обеспечение доступности экстренной (скорой) медицинской помощи населению республики</t>
  </si>
  <si>
    <t>Всего по мере "Управление и администрирование отрасли на центральном уровне", из них</t>
  </si>
  <si>
    <t>Всего по мере "Администрирование на региональном уровне", из них</t>
  </si>
  <si>
    <t>Всего по мере "Обеспечение доступности экстренной (скорой0 медицинской помощи населению республики", из них</t>
  </si>
  <si>
    <t>Всего по программе "Предоставление услуг первичной медико-санитарной помощи", из них</t>
  </si>
  <si>
    <t>Бюджетная мера 02. Обеспечение доступности базовых медицинских услуг на уровне первичной медико-санитарной помощи населению республики</t>
  </si>
  <si>
    <t>Всего по мере "Обеспечение доступности базовых медицинских услуг на уровне первичной медико-санитарной помощи населению республики", из них</t>
  </si>
  <si>
    <t>Бюджетная мера 03. Обеспечение доступности стоматологической помощи населению в рамках Программы государственных гарантий по обеспечению граждан медико-санитарной помощью (далее-Программа государственных гарантий)</t>
  </si>
  <si>
    <t>Всего по мере "Обеспечение доступности стоматологической помощи населению в рамках Программы государственных гарантий по обеспечению граждан медико-санитарной помощью", из них</t>
  </si>
  <si>
    <t>Бюджетная мера 04. Обеспечение доступности медицинской помощи по борьбе с туберкулезом, оказываемой организациями первичной медико-санитарной помощи</t>
  </si>
  <si>
    <t>Всего по мере "Обеспечение доступности медицинской помощи по борьбе с туберкулезом, оказываемой организациями первичной медико-санитарной помощи", из них</t>
  </si>
  <si>
    <t>Бюджетная мера 05. Обеспечение доступа населения республики к льготному лекарственному обеспечению по Программе государственных гарантий (онкологическим больным в терминальной стадии; больным параноидной шизофренией и хроническими бредовыми расстройствами; аффектными расстройствами различного генеза; больным эпилепсией; больным бронхиальной астмой)</t>
  </si>
  <si>
    <t>Всего по мере "Обеспечение доступа населения республики к льготному лекарственному обеспечению по Программе государственных гарантий (онкологическим больным в терминальной стадии; больным параноидной шизофренией и хроническими бредовыми расстройствами; аффектными расстройствами различного генеза; больным эпилепсией; больным бронхиальной астмой)", из них</t>
  </si>
  <si>
    <t>Бюджетная мера 06. Обеспечение доступа застрахованного населения республики к льготному лекарственному обеспечению по обязательному медицинскому страхованию</t>
  </si>
  <si>
    <t>Всего по мере "Обеспечение доступа застрахованного населения республики к льготному лекарственному обеспечению по обязательному медицинскому страхованию", из них</t>
  </si>
  <si>
    <t>Бюджетная мера 07. Оказание населению платных медицинских услуг сверх объема Программы государственных гарантий</t>
  </si>
  <si>
    <t>Всего по мере "Оказание населению платных медицинских услуг сверх объема Программы государственных гарантий", из них</t>
  </si>
  <si>
    <t>Бюджетная мера 08. Оказание немедицинских и иных услуг организациями здравоохранения, работающими в системе Единого плательщика</t>
  </si>
  <si>
    <t>Всего по мере "Оказание немедицинских и иных услуг организациями здравоохранения, работающими в системе Единого плательщика", из них</t>
  </si>
  <si>
    <t>Бюджетная мера 09. Улучшение качества предоставления медицинской помощи населению путем стимулирования групп семейных врачей за достижение целевых показателей качества деятельности (мероприятия Программы, ориентированной на результат (ПОР))</t>
  </si>
  <si>
    <t>Всего по мере "Улучшение качества предоставления медицинской помощи населению путем стимулирования групп семейных врачей за достижение целевых показателей качества деятельности (мероприятия Программы, ориентированной на результат (ПОР))", из них</t>
  </si>
  <si>
    <t>Бюджетная мера 10. Обеспечение материального стимулирования работников системы здравоохранения путем повышения оплаты труда</t>
  </si>
  <si>
    <t>Всего по мере "Обеспечение материального стимулирования работников системы здравоохранения путем повышения оплаты труда", из них</t>
  </si>
  <si>
    <t>Бюджетная мера 11. Обеспечение доступности специализированной психиатрической помощи, оказываемой организациями первичной медико-санитарной помощи</t>
  </si>
  <si>
    <t>Всего по мере "Обеспечение доступности специализированной психиатрической помощи, оказываемой организациями первичной медико-санитарной помощи", из них</t>
  </si>
  <si>
    <t>Бюджетная мера 01. Обеспечение доступности медицинских услуг населению республики на уровне стационарной помощи в рамках Программы государственных гарантий</t>
  </si>
  <si>
    <t>Всего по мере "Обеспечение доступности медицинских услуг населению республики на уровне стационарной помощи в рамках Программы государственных гарантий", из них</t>
  </si>
  <si>
    <t>Бюджетная мера 02. Обеспечение доступности медицинской помощи по борьбе с туберкулезом, оказываемой организациями здравоохранения стационарного уровня</t>
  </si>
  <si>
    <t>Всего по мере "Обеспечение доступности медицинской помощи по борьбе с туберкулезом, оказываемой организациями здравоохранения стационарного уровня", из них</t>
  </si>
  <si>
    <t>Бюджетная мера 03. Обеспечение доступности медицинских услуг на уровне специализированной онкологической и гематологической помощи</t>
  </si>
  <si>
    <t>Всего по мере "Обеспечение доступности медицинских услуг на уровне специализированной онкологической и гематологической помощи", из них</t>
  </si>
  <si>
    <t>Бюджетная мера 04. Обеспечение доступности медицинских услуг на уровне специализированной кардиохирургической помощи</t>
  </si>
  <si>
    <t>Всего по мере "Обеспечение доступности медицинских услуг на уровне специализированной кардиохирургической помощи", из них</t>
  </si>
  <si>
    <t>Бюджетная мера 05. Обеспечение доступности медицинских услуг на уровне специализированной психиатрической помощи</t>
  </si>
  <si>
    <t>Всего по мере "Обеспечение доступности медицинских услуг на уровне специализированной психиатрической помощи", из них</t>
  </si>
  <si>
    <t>Бюджетная мера 06. Оказание населению платных медицинских услуг сверх объема Программы государственных гарантий</t>
  </si>
  <si>
    <t>Всего по мере " Оказание населению платных медицинских услуг сверх объема Программы государственных гарантий", из них</t>
  </si>
  <si>
    <t>Бюджетная мера 07. Оказание немедицинских и иных услуг организациями здравоохранения, работающими в системе Единого плательщика</t>
  </si>
  <si>
    <t>Бюджетная мера 08. Обеспечение материального стимулирования работников системы здравоохранения путем повышения оплаты труда</t>
  </si>
  <si>
    <t>Бюджетная мера 09. Мероприятия по проекту "Караван здоровья"</t>
  </si>
  <si>
    <t>Всего по мере "Мероприятия по проекту "Караван здоровья"", из них</t>
  </si>
  <si>
    <t>Бюджетная мера 10. Мероприятия по проекту Азиатского банка развития</t>
  </si>
  <si>
    <t>Всего по мере "Мероприятия по проекту Азиатского банка развития", из них</t>
  </si>
  <si>
    <t>Бюджетная мера 11. Мероприятия по проекту Всемирного банка</t>
  </si>
  <si>
    <t>Всего по мере "Всемирного банка", из них</t>
  </si>
  <si>
    <t>Бюджетная мера 01. Обеспечение доступа к льготному гемодиализному лечению остронуждающихся пациентов с терминальной стадией хронической почечной недостаточночти пятой стадии</t>
  </si>
  <si>
    <t>Всего по мере "Обеспечение доступа к льготному гемодиализному лечению остронуждающихся пациентов с терминальной стадией хронической почечной недостаточночти пятой стадии", из них</t>
  </si>
  <si>
    <t>Бюджетная мера 02.  Обеспечение финансовой устойчивости и надлежащего функционирования организаций здравоохранения (формирование страхового запаса)</t>
  </si>
  <si>
    <t>Всего по мере "Обеспечение финансовой устойчивости и надлежащего функционирования организаций здравоохранения (формирование страхового запаса)", из них</t>
  </si>
  <si>
    <t xml:space="preserve">Бюджетная мера 03.  Поддержка, развитие и материально-техническое оснащение организаций здравоохранения </t>
  </si>
  <si>
    <t>Всего по мере "Поддержка, развитие и материально-техническое оснащение организаций здравоохранения ", из них</t>
  </si>
  <si>
    <r>
      <rPr>
        <b/>
        <sz val="12"/>
        <color theme="1"/>
        <rFont val="Times New Roman"/>
        <family val="1"/>
        <charset val="204"/>
      </rPr>
      <t>Программа 1.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Управление и администрирование</t>
    </r>
    <r>
      <rPr>
        <sz val="12"/>
        <color theme="1"/>
        <rFont val="Times New Roman"/>
        <family val="1"/>
        <charset val="204"/>
      </rPr>
      <t>.                                                                                                                                                  Цель программы: институциональное уисление Фонда обязательного медицинского страхования при Министерстве здравоохранения Кыргызской Республики (далее - Фонд обязательного медицинского страхования) в качестве Единого плательщика. Координирующее и организационное воздействие на реализацию других программ</t>
    </r>
  </si>
  <si>
    <t>Всего по Программам 1-4, из них</t>
  </si>
  <si>
    <t>Итого по Программам 1-4</t>
  </si>
  <si>
    <t>Полный охват населения обязательным медицинским страхованием</t>
  </si>
  <si>
    <t>Оказание своевременного координирующего воздействия на реализуемые программы</t>
  </si>
  <si>
    <r>
      <rPr>
        <b/>
        <sz val="12"/>
        <color theme="1"/>
        <rFont val="Times New Roman"/>
        <family val="1"/>
        <charset val="204"/>
      </rPr>
      <t>Программа 2.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Предоставление услуг первичной медико-санитарной помощи</t>
    </r>
    <r>
      <rPr>
        <sz val="12"/>
        <color theme="1"/>
        <rFont val="Times New Roman"/>
        <family val="1"/>
        <charset val="204"/>
      </rPr>
      <t>.                                                                                                                                  Цель программы: раннее выявление, диагностика заболеваний, повышение качества и эффективности предоставления медицинской и профилактической помощи на уровне первичной медико-санитароной помощи</t>
    </r>
  </si>
  <si>
    <t>Обеспечение контроля за своевременным исполнением реализуемых мероприятий и программ</t>
  </si>
  <si>
    <t>Предоставление своевременной, качественной медицинской и профилактической помощи</t>
  </si>
  <si>
    <t>2026 год      (прогноз)</t>
  </si>
  <si>
    <t>2027 год      (прогноз)</t>
  </si>
  <si>
    <t>Заместитель председателя Фонда ОМС при Министерстве здравоохранения Кыргызской Республики___________________М.Т.Шабданов</t>
  </si>
  <si>
    <t>Исполнитель:</t>
  </si>
  <si>
    <t>________________</t>
  </si>
  <si>
    <t>по Фонду обязательного медицинского страхования при Министерстве здравоохранения                        Кыргызской Республики</t>
  </si>
  <si>
    <t>по Фонду обязательного медицинского страхования при Министерстве здравоохранения                                                                    Кыргызской Республики</t>
  </si>
  <si>
    <t>2026 год</t>
  </si>
  <si>
    <t>2027 год</t>
  </si>
  <si>
    <t>Своевременное оказывание экстренной (скорой) медицинской помощи бригадами СМП населению республики</t>
  </si>
  <si>
    <t>Увеличение доли новорожденных, обслуженных семейным врачом (врачом общей практики), женщин, вставших на учет по поводу беременности в сроке до 12 недель, а также беременных женщин, получивших базовый пакет антенатальных услуг на уровне ПМСП</t>
  </si>
  <si>
    <t>Увеличение охвата беременных женщин, вставших на учет по поводу беременности профилактическими осмотрами у стоматолога и улучшение доступности стоматологических услуг по ПГГ</t>
  </si>
  <si>
    <t>Обеспечение успешного завершения лечения туберкулеза на амбулаторном уровне в пилотных ОЗ ПМСП</t>
  </si>
  <si>
    <t xml:space="preserve">Возмещение реализованных лекарств по рецептам ПГГ на амбулаторном уровне </t>
  </si>
  <si>
    <t xml:space="preserve">Возмещение реализованных лекарств по рецептам ОМС на амбулаторном уровне </t>
  </si>
  <si>
    <t>Обеспечение исполнения предусмотренных планов по ожидаемым поступлениям средств по платным медицинским услугам сверх объема ПГГ</t>
  </si>
  <si>
    <t>Обеспечение исполнения предусмотренных планов по ожидаемым поступлениям средств по платным немедицинским и иным услугам</t>
  </si>
  <si>
    <t>Своевременное освоение выделенных средств и обеспечение целевого использования</t>
  </si>
  <si>
    <t>Улучшение доступности услуг для пациентов с психическими расстройствами на амбулаторном уровне в пилотных ОЗ ПМСП</t>
  </si>
  <si>
    <r>
      <rPr>
        <b/>
        <sz val="12"/>
        <color theme="1"/>
        <rFont val="Times New Roman"/>
        <family val="1"/>
        <charset val="204"/>
      </rPr>
      <t>Программа 3.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Предоставление услуг организациями здравоохранения на стационарном уровне</t>
    </r>
    <r>
      <rPr>
        <sz val="12"/>
        <color theme="1"/>
        <rFont val="Times New Roman"/>
        <family val="1"/>
        <charset val="204"/>
      </rPr>
      <t>.                                                 Цель программы: повышение качества качества и эффективности предоставления гарантированной медицинской помощи на стационарном уровне в рамках Программы государственных гарантий</t>
    </r>
  </si>
  <si>
    <t>Улучшение доступности стационарных услуг и повышение уровня удовлетворенности пациентов</t>
  </si>
  <si>
    <t>Исполнение плана пролеченных случаев</t>
  </si>
  <si>
    <t>Обеспечение своевременного финансирования поступающих средств</t>
  </si>
  <si>
    <t>Обеспечение целевого использования и освоения поступающих средств</t>
  </si>
  <si>
    <r>
      <rPr>
        <b/>
        <sz val="12"/>
        <color theme="1"/>
        <rFont val="Times New Roman"/>
        <family val="1"/>
        <charset val="204"/>
      </rPr>
      <t>Программа 4.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Обеспечение доступности медицинских и иных услуг, оказываемых населению сверх объема Программы государственных гарантий</t>
    </r>
    <r>
      <rPr>
        <sz val="12"/>
        <color theme="1"/>
        <rFont val="Times New Roman"/>
        <family val="1"/>
        <charset val="204"/>
      </rPr>
      <t>.                                                                                                                                                                                       Цель программы: повышение уровня удовлетворенности граждан посредством предоставления расширенного спектра услуг организациями здравоохранения независимо от формы собственности.</t>
    </r>
  </si>
  <si>
    <t>Своевременное финансирование выделенных на Программу средств</t>
  </si>
  <si>
    <t>Своевременная оплата услуг гемодиализа для пациентов с терминальной стадией хронической почечной недостаточности, получающих лечение в частных медицинских центрах и в государственных организациях здравоохранения</t>
  </si>
  <si>
    <t>Обеспечение финансовой стабильности в объеме не менее месячного финансирования от общего объема средств, направляемых на финансирование медицинских и профилактических услуг, предоставляемых организациями здравоохранения</t>
  </si>
  <si>
    <t>Финансирование на поддержку и развитие здравоохранения для организаций здравоохранения</t>
  </si>
  <si>
    <t>__________________________</t>
  </si>
  <si>
    <t>2025 год     (прогноз)</t>
  </si>
  <si>
    <t>2028 год      (прогноз)</t>
  </si>
  <si>
    <t>2024 год    (план)</t>
  </si>
  <si>
    <t>2028 год</t>
  </si>
  <si>
    <t xml:space="preserve">Кадыркулов Р.Б. Тел.66-18-09 </t>
  </si>
  <si>
    <t>Кадыркулов Р.Б. Тел.66-18-09</t>
  </si>
  <si>
    <t>Индикатор 2. Уровень исполнения индикаторов договоров по оценке качества медицинских  услуг в соответствии с Программой государственных гарантий (%)</t>
  </si>
  <si>
    <t>Индикатор 1. Уровень исполнения ежегодного Плана Мероприятий Фонда ОМС (%)</t>
  </si>
  <si>
    <t>Индикатор 1. Доля расходов на первичную медико-санитарную помощь в общих расходах по другим программам</t>
  </si>
  <si>
    <t>Индикатор 3. Уровень удовлетворенности пациентов (по оценочной карте)</t>
  </si>
  <si>
    <t>Индикатор 1. Доля детей до 1 года прошедших скрининг на железодефицитную анемию (%)</t>
  </si>
  <si>
    <t>Индикатор 2. Доля проведенных в организациях здравоохранения ПМСП бесплатно в первом триместре беременности анализов мочи на бессимптомную бактериурию (окраска мочи по Граму, микроскопия осадка мочи, бактериальный посев средней порции мочи) (%)</t>
  </si>
  <si>
    <t>Индикатор 3. Доля проведенных бесплатно в организациях здравоохранения ПМСП анализов крови на определение гликированного гемоглобина пациентам с диагнозом: сахарный диабет  (%)</t>
  </si>
  <si>
    <t>Индикатор 2. Уровень удовлетворенности пациентов (по Оценочной карте)</t>
  </si>
  <si>
    <t>Индикатор 1. Уровень соответствия качества медицинской помощи утвержденными нормативными документами по Оценочной карте (%)</t>
  </si>
  <si>
    <t>Индикатор 1. Соотношение пациентов с терминальной стадией хронической почечной недостаточности, охваченных льготным гемодиализным лечением, к общему числу пациентов, состоящих на учете (%)</t>
  </si>
  <si>
    <t>Индикатор 2. Уровень соответствия качества медицинской помощи в организациях здравоохранения ПМСП утвержденным нормативными документами (%)</t>
  </si>
  <si>
    <t>по Фонду обязательного медицинского страхования при Министерстве здравоохранения  Кыргызской Республики</t>
  </si>
  <si>
    <t>Начальник управления бюджетного планирования Фонда ОМС при МЗ КР___________________М.М.Атакулов</t>
  </si>
  <si>
    <t>Начальник управления бюджетного планиования Фонда ОМС при МЗ КР___________________М.М.Атакулов</t>
  </si>
  <si>
    <t>2029 год</t>
  </si>
  <si>
    <t>Среднесрочная стратегия бюджетных расходов на 2025-2029 гг.</t>
  </si>
  <si>
    <t>2025 год    (прогноз)</t>
  </si>
  <si>
    <t>2026 год     (прогноз)</t>
  </si>
  <si>
    <t>2029 год      (прогноз)</t>
  </si>
  <si>
    <t>Краткое обоснование новой инициативы (необходимость и общественная полезность, ссылка на стратегию национального уровня/инициативу Президента, Кабинета Министров, отраслевую стратегию развития)</t>
  </si>
  <si>
    <t>2025 год    (план)</t>
  </si>
  <si>
    <t>Индикатор 1. Охват берменных беременных женщин, вставших на учет по поводу беременности профилактическимим осмотрами у стоматолога (абс.число)</t>
  </si>
  <si>
    <t>Индикатор 2. Доля санированных беременных женщин, вставших на учет по поводу беременности из числа выявленных при профилактическом осмотре (%)</t>
  </si>
  <si>
    <t>Индикатор 3. Доля детей до 10 лет, прошедших профилактический осмотр из числа организованной группы (школы, детсады) (%)</t>
  </si>
  <si>
    <t>Индикатор 4. Доля детей до 10 лет, прошедших санацию полсти рта из числа выявленных при профилактическом осмотре (%)</t>
  </si>
  <si>
    <t>по Фонду обязательного медицинского страхования при Министерстве здравоохранения Кыргызской Республики на 2025-2029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</si>
</sst>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\ _₽_-;\-* #,##0.0\ _₽_-;_-* &quot;-&quot;??\ _₽_-;_-@_-"/>
    <numFmt numFmtId="166" formatCode="0.0%"/>
    <numFmt numFmtId="167" formatCode="#,##0.0"/>
    <numFmt numFmtId="168" formatCode="_-* #,##0.0\ _с_о_м_-;\-* #,##0.0\ _с_о_м_-;_-* &quot;-&quot;?\ _с_о_м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/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165" fontId="7" fillId="0" borderId="1" xfId="1" applyNumberFormat="1" applyFont="1" applyBorder="1"/>
    <xf numFmtId="165" fontId="7" fillId="0" borderId="1" xfId="0" applyNumberFormat="1" applyFont="1" applyBorder="1"/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/>
    <xf numFmtId="165" fontId="5" fillId="2" borderId="1" xfId="0" applyNumberFormat="1" applyFont="1" applyFill="1" applyBorder="1"/>
    <xf numFmtId="9" fontId="7" fillId="0" borderId="1" xfId="2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9" fontId="7" fillId="0" borderId="1" xfId="0" applyNumberFormat="1" applyFont="1" applyBorder="1" applyAlignment="1">
      <alignment vertical="center"/>
    </xf>
    <xf numFmtId="9" fontId="7" fillId="0" borderId="1" xfId="0" applyNumberFormat="1" applyFont="1" applyBorder="1" applyAlignment="1">
      <alignment horizontal="right" vertical="center"/>
    </xf>
    <xf numFmtId="166" fontId="7" fillId="0" borderId="1" xfId="0" applyNumberFormat="1" applyFont="1" applyBorder="1" applyAlignment="1">
      <alignment vertical="center"/>
    </xf>
    <xf numFmtId="167" fontId="7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/>
    <xf numFmtId="167" fontId="7" fillId="3" borderId="1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0" fillId="0" borderId="0" xfId="0" applyFill="1"/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6" fillId="0" borderId="0" xfId="0" applyFont="1" applyAlignment="1">
      <alignment vertical="center" wrapText="1"/>
    </xf>
    <xf numFmtId="0" fontId="6" fillId="0" borderId="0" xfId="0" applyFont="1" applyAlignment="1"/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right" vertical="center"/>
    </xf>
    <xf numFmtId="167" fontId="10" fillId="0" borderId="1" xfId="0" applyNumberFormat="1" applyFont="1" applyFill="1" applyBorder="1" applyAlignment="1">
      <alignment horizontal="center" vertical="center" wrapText="1"/>
    </xf>
    <xf numFmtId="9" fontId="7" fillId="3" borderId="1" xfId="0" applyNumberFormat="1" applyFont="1" applyFill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165" fontId="11" fillId="0" borderId="1" xfId="1" applyNumberFormat="1" applyFont="1" applyBorder="1" applyAlignment="1">
      <alignment horizontal="right"/>
    </xf>
    <xf numFmtId="165" fontId="11" fillId="0" borderId="1" xfId="0" applyNumberFormat="1" applyFont="1" applyBorder="1"/>
    <xf numFmtId="0" fontId="13" fillId="2" borderId="1" xfId="0" applyFont="1" applyFill="1" applyBorder="1"/>
    <xf numFmtId="165" fontId="13" fillId="2" borderId="1" xfId="0" applyNumberFormat="1" applyFont="1" applyFill="1" applyBorder="1"/>
    <xf numFmtId="0" fontId="11" fillId="0" borderId="2" xfId="0" applyFont="1" applyBorder="1" applyAlignment="1">
      <alignment horizontal="left" vertical="center" wrapText="1"/>
    </xf>
    <xf numFmtId="166" fontId="11" fillId="0" borderId="1" xfId="0" applyNumberFormat="1" applyFont="1" applyBorder="1" applyAlignment="1">
      <alignment vertical="center"/>
    </xf>
    <xf numFmtId="9" fontId="11" fillId="0" borderId="1" xfId="0" applyNumberFormat="1" applyFont="1" applyBorder="1" applyAlignment="1">
      <alignment vertical="center"/>
    </xf>
    <xf numFmtId="0" fontId="14" fillId="0" borderId="2" xfId="0" applyFont="1" applyBorder="1" applyAlignment="1">
      <alignment horizontal="left" vertical="center" wrapText="1"/>
    </xf>
    <xf numFmtId="165" fontId="11" fillId="0" borderId="1" xfId="1" applyNumberFormat="1" applyFont="1" applyBorder="1"/>
    <xf numFmtId="9" fontId="11" fillId="3" borderId="1" xfId="0" applyNumberFormat="1" applyFont="1" applyFill="1" applyBorder="1" applyAlignment="1">
      <alignment vertical="center"/>
    </xf>
    <xf numFmtId="0" fontId="11" fillId="3" borderId="2" xfId="0" applyFont="1" applyFill="1" applyBorder="1" applyAlignment="1">
      <alignment horizontal="left" vertical="center" wrapText="1"/>
    </xf>
    <xf numFmtId="9" fontId="11" fillId="3" borderId="1" xfId="0" applyNumberFormat="1" applyFont="1" applyFill="1" applyBorder="1" applyAlignment="1">
      <alignment horizontal="right" vertical="center"/>
    </xf>
    <xf numFmtId="0" fontId="11" fillId="0" borderId="1" xfId="0" applyNumberFormat="1" applyFont="1" applyBorder="1" applyAlignment="1">
      <alignment horizontal="right" vertical="center"/>
    </xf>
    <xf numFmtId="9" fontId="11" fillId="0" borderId="1" xfId="0" applyNumberFormat="1" applyFont="1" applyBorder="1" applyAlignment="1">
      <alignment horizontal="right" vertical="center"/>
    </xf>
    <xf numFmtId="1" fontId="11" fillId="0" borderId="1" xfId="0" applyNumberFormat="1" applyFont="1" applyBorder="1" applyAlignment="1">
      <alignment horizontal="right" vertical="center"/>
    </xf>
    <xf numFmtId="167" fontId="7" fillId="0" borderId="7" xfId="0" applyNumberFormat="1" applyFont="1" applyFill="1" applyBorder="1" applyAlignment="1">
      <alignment horizontal="center" vertical="center" wrapText="1"/>
    </xf>
    <xf numFmtId="164" fontId="0" fillId="0" borderId="0" xfId="1" applyFont="1"/>
    <xf numFmtId="0" fontId="9" fillId="0" borderId="0" xfId="0" applyFont="1"/>
    <xf numFmtId="0" fontId="1" fillId="0" borderId="0" xfId="0" applyFont="1"/>
    <xf numFmtId="165" fontId="0" fillId="0" borderId="0" xfId="1" applyNumberFormat="1" applyFont="1"/>
    <xf numFmtId="168" fontId="0" fillId="0" borderId="0" xfId="0" applyNumberFormat="1"/>
    <xf numFmtId="165" fontId="0" fillId="0" borderId="0" xfId="1" applyNumberFormat="1" applyFont="1" applyFill="1"/>
    <xf numFmtId="167" fontId="10" fillId="0" borderId="1" xfId="0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vertical="center"/>
    </xf>
    <xf numFmtId="0" fontId="16" fillId="0" borderId="0" xfId="0" applyFont="1"/>
    <xf numFmtId="4" fontId="7" fillId="0" borderId="1" xfId="0" applyNumberFormat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65" fontId="13" fillId="3" borderId="1" xfId="0" applyNumberFormat="1" applyFont="1" applyFill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pageSetUpPr fitToPage="1"/>
  </sheetPr>
  <dimension ref="B1:I44"/>
  <sheetViews>
    <sheetView tabSelected="1" workbookViewId="0">
      <selection activeCell="H34" sqref="H34"/>
    </sheetView>
  </sheetViews>
  <sheetFormatPr defaultRowHeight="15" x14ac:dyDescent="0.25"/>
  <cols>
    <col min="1" max="1" width="9.140625" customWidth="1"/>
    <col min="2" max="2" width="37.7109375" customWidth="1"/>
    <col min="3" max="3" width="16.28515625" customWidth="1"/>
    <col min="4" max="6" width="19.5703125" customWidth="1"/>
    <col min="7" max="7" width="20.140625" customWidth="1"/>
  </cols>
  <sheetData>
    <row r="1" spans="2:9" x14ac:dyDescent="0.25">
      <c r="B1" s="1"/>
      <c r="C1" s="1"/>
      <c r="E1" s="1"/>
      <c r="F1" s="1" t="s">
        <v>0</v>
      </c>
      <c r="G1" s="1"/>
      <c r="H1" s="1"/>
      <c r="I1" s="1"/>
    </row>
    <row r="2" spans="2:9" x14ac:dyDescent="0.25">
      <c r="B2" s="1"/>
      <c r="C2" s="1"/>
      <c r="E2" s="1"/>
      <c r="F2" s="1" t="s">
        <v>1</v>
      </c>
      <c r="G2" s="1"/>
      <c r="H2" s="1"/>
      <c r="I2" s="1"/>
    </row>
    <row r="3" spans="2:9" x14ac:dyDescent="0.25">
      <c r="B3" s="1"/>
      <c r="C3" s="1"/>
      <c r="E3" s="1"/>
      <c r="F3" s="1" t="s">
        <v>2</v>
      </c>
      <c r="G3" s="1"/>
      <c r="H3" s="1"/>
      <c r="I3" s="1"/>
    </row>
    <row r="4" spans="2:9" x14ac:dyDescent="0.25">
      <c r="B4" s="1"/>
      <c r="C4" s="1"/>
      <c r="E4" s="1"/>
      <c r="F4" s="1" t="s">
        <v>3</v>
      </c>
      <c r="G4" s="1"/>
      <c r="H4" s="1"/>
      <c r="I4" s="1"/>
    </row>
    <row r="5" spans="2:9" x14ac:dyDescent="0.25">
      <c r="B5" s="1"/>
      <c r="C5" s="1"/>
      <c r="E5" s="1"/>
      <c r="F5" s="1" t="s">
        <v>4</v>
      </c>
      <c r="G5" s="1"/>
      <c r="H5" s="1"/>
      <c r="I5" s="1"/>
    </row>
    <row r="6" spans="2:9" x14ac:dyDescent="0.25">
      <c r="B6" s="1"/>
      <c r="C6" s="1"/>
      <c r="D6" s="1"/>
      <c r="E6" s="1"/>
      <c r="F6" s="1"/>
      <c r="G6" s="1"/>
      <c r="H6" s="1"/>
      <c r="I6" s="1"/>
    </row>
    <row r="7" spans="2:9" ht="18.75" x14ac:dyDescent="0.3">
      <c r="B7" s="79" t="s">
        <v>241</v>
      </c>
      <c r="C7" s="79"/>
      <c r="D7" s="79"/>
      <c r="E7" s="79"/>
      <c r="F7" s="79"/>
      <c r="G7" s="79"/>
      <c r="H7" s="1"/>
      <c r="I7" s="1"/>
    </row>
    <row r="8" spans="2:9" ht="36" customHeight="1" x14ac:dyDescent="0.25">
      <c r="B8" s="80" t="s">
        <v>195</v>
      </c>
      <c r="C8" s="80"/>
      <c r="D8" s="80"/>
      <c r="E8" s="80"/>
      <c r="F8" s="80"/>
      <c r="G8" s="80"/>
      <c r="H8" s="1"/>
      <c r="I8" s="1"/>
    </row>
    <row r="9" spans="2:9" x14ac:dyDescent="0.25">
      <c r="B9" s="2"/>
      <c r="C9" s="1"/>
      <c r="D9" s="1"/>
      <c r="E9" s="1"/>
      <c r="F9" s="1"/>
      <c r="G9" s="1"/>
      <c r="H9" s="1"/>
      <c r="I9" s="1"/>
    </row>
    <row r="10" spans="2:9" ht="35.25" customHeight="1" x14ac:dyDescent="0.25">
      <c r="B10" s="74" t="s">
        <v>6</v>
      </c>
      <c r="C10" s="75"/>
      <c r="D10" s="83" t="s">
        <v>34</v>
      </c>
      <c r="E10" s="84"/>
      <c r="F10" s="84"/>
      <c r="G10" s="85"/>
      <c r="H10" s="1"/>
      <c r="I10" s="1"/>
    </row>
    <row r="11" spans="2:9" ht="81" customHeight="1" x14ac:dyDescent="0.25">
      <c r="B11" s="81" t="s">
        <v>51</v>
      </c>
      <c r="C11" s="82"/>
      <c r="D11" s="81" t="s">
        <v>50</v>
      </c>
      <c r="E11" s="86"/>
      <c r="F11" s="86"/>
      <c r="G11" s="82"/>
      <c r="H11" s="1"/>
      <c r="I11" s="1"/>
    </row>
    <row r="12" spans="2:9" ht="31.5" x14ac:dyDescent="0.25">
      <c r="B12" s="15" t="s">
        <v>52</v>
      </c>
      <c r="C12" s="4" t="s">
        <v>242</v>
      </c>
      <c r="D12" s="4" t="s">
        <v>243</v>
      </c>
      <c r="E12" s="4" t="s">
        <v>191</v>
      </c>
      <c r="F12" s="4" t="s">
        <v>221</v>
      </c>
      <c r="G12" s="4" t="s">
        <v>244</v>
      </c>
      <c r="H12" s="1"/>
      <c r="I12" s="1"/>
    </row>
    <row r="13" spans="2:9" ht="15.75" x14ac:dyDescent="0.25">
      <c r="B13" s="5" t="s">
        <v>53</v>
      </c>
      <c r="C13" s="12">
        <f>C21+C29</f>
        <v>350150</v>
      </c>
      <c r="D13" s="12">
        <f>D21+D29</f>
        <v>385165</v>
      </c>
      <c r="E13" s="12">
        <f>E21+E29</f>
        <v>423681.5</v>
      </c>
      <c r="F13" s="12">
        <f>F21+F29</f>
        <v>466049.65</v>
      </c>
      <c r="G13" s="12">
        <f>G21+G29</f>
        <v>512654.66499999998</v>
      </c>
      <c r="H13" s="1"/>
      <c r="I13" s="1"/>
    </row>
    <row r="14" spans="2:9" ht="15.75" x14ac:dyDescent="0.25">
      <c r="B14" s="5" t="s">
        <v>9</v>
      </c>
      <c r="C14" s="13"/>
      <c r="D14" s="13"/>
      <c r="E14" s="13"/>
      <c r="F14" s="13"/>
      <c r="G14" s="13"/>
      <c r="H14" s="1"/>
      <c r="I14" s="1"/>
    </row>
    <row r="15" spans="2:9" ht="15.75" x14ac:dyDescent="0.25">
      <c r="B15" s="5" t="s">
        <v>10</v>
      </c>
      <c r="C15" s="13"/>
      <c r="D15" s="13"/>
      <c r="E15" s="13"/>
      <c r="F15" s="13"/>
      <c r="G15" s="13"/>
      <c r="H15" s="1"/>
      <c r="I15" s="1"/>
    </row>
    <row r="16" spans="2:9" ht="15.75" x14ac:dyDescent="0.25">
      <c r="B16" s="16" t="s">
        <v>55</v>
      </c>
      <c r="C16" s="17">
        <f>C13+C14+C15</f>
        <v>350150</v>
      </c>
      <c r="D16" s="17">
        <f t="shared" ref="D16:G16" si="0">D13+D14+D15</f>
        <v>385165</v>
      </c>
      <c r="E16" s="17">
        <f t="shared" si="0"/>
        <v>423681.5</v>
      </c>
      <c r="F16" s="17">
        <f t="shared" si="0"/>
        <v>466049.65</v>
      </c>
      <c r="G16" s="17">
        <f t="shared" si="0"/>
        <v>512654.66499999998</v>
      </c>
      <c r="H16" s="70"/>
      <c r="I16" s="1"/>
    </row>
    <row r="17" spans="2:9" ht="15.75" x14ac:dyDescent="0.25">
      <c r="B17" s="4" t="s">
        <v>11</v>
      </c>
      <c r="C17" s="5"/>
      <c r="D17" s="5"/>
      <c r="E17" s="5"/>
      <c r="F17" s="5"/>
      <c r="G17" s="5"/>
      <c r="H17" s="1"/>
      <c r="I17" s="1"/>
    </row>
    <row r="18" spans="2:9" ht="47.25" x14ac:dyDescent="0.25">
      <c r="B18" s="11" t="s">
        <v>35</v>
      </c>
      <c r="C18" s="18">
        <v>0.82</v>
      </c>
      <c r="D18" s="18">
        <v>0.87</v>
      </c>
      <c r="E18" s="18">
        <v>0.9</v>
      </c>
      <c r="F18" s="18">
        <v>0.9</v>
      </c>
      <c r="G18" s="18">
        <v>0.9</v>
      </c>
      <c r="H18" s="1"/>
      <c r="I18" s="1"/>
    </row>
    <row r="19" spans="2:9" ht="34.5" customHeight="1" x14ac:dyDescent="0.25">
      <c r="B19" s="74" t="s">
        <v>59</v>
      </c>
      <c r="C19" s="75"/>
      <c r="D19" s="76" t="s">
        <v>68</v>
      </c>
      <c r="E19" s="77"/>
      <c r="F19" s="77"/>
      <c r="G19" s="78"/>
      <c r="H19" s="1"/>
      <c r="I19" s="1"/>
    </row>
    <row r="20" spans="2:9" ht="31.5" x14ac:dyDescent="0.25">
      <c r="B20" s="15" t="s">
        <v>52</v>
      </c>
      <c r="C20" s="4" t="s">
        <v>242</v>
      </c>
      <c r="D20" s="4" t="s">
        <v>243</v>
      </c>
      <c r="E20" s="4" t="s">
        <v>191</v>
      </c>
      <c r="F20" s="4" t="s">
        <v>221</v>
      </c>
      <c r="G20" s="4" t="s">
        <v>244</v>
      </c>
      <c r="H20" s="1"/>
      <c r="I20" s="1"/>
    </row>
    <row r="21" spans="2:9" ht="15.75" x14ac:dyDescent="0.25">
      <c r="B21" s="5" t="s">
        <v>53</v>
      </c>
      <c r="C21" s="12">
        <f>'Приложение 2'!G26</f>
        <v>141389.79999999999</v>
      </c>
      <c r="D21" s="12">
        <f>'Приложение 2'!H26</f>
        <v>155528.78</v>
      </c>
      <c r="E21" s="12">
        <f>'Приложение 2'!I26</f>
        <v>171081.67799999999</v>
      </c>
      <c r="F21" s="12">
        <f>'Приложение 2'!J26</f>
        <v>188189.86780000001</v>
      </c>
      <c r="G21" s="12">
        <f>'Приложение 2'!K26</f>
        <v>207008.88678</v>
      </c>
      <c r="H21" s="1"/>
      <c r="I21" s="1"/>
    </row>
    <row r="22" spans="2:9" ht="15.75" x14ac:dyDescent="0.25">
      <c r="B22" s="5" t="s">
        <v>9</v>
      </c>
      <c r="C22" s="13"/>
      <c r="D22" s="13"/>
      <c r="E22" s="13"/>
      <c r="F22" s="13"/>
      <c r="G22" s="13"/>
      <c r="H22" s="1"/>
      <c r="I22" s="1"/>
    </row>
    <row r="23" spans="2:9" ht="15.75" x14ac:dyDescent="0.25">
      <c r="B23" s="5" t="s">
        <v>10</v>
      </c>
      <c r="C23" s="13"/>
      <c r="D23" s="13"/>
      <c r="E23" s="13"/>
      <c r="F23" s="13"/>
      <c r="G23" s="13"/>
      <c r="H23" s="1"/>
      <c r="I23" s="1"/>
    </row>
    <row r="24" spans="2:9" ht="15.75" x14ac:dyDescent="0.25">
      <c r="B24" s="16" t="s">
        <v>56</v>
      </c>
      <c r="C24" s="17">
        <f>C21+C22+C23</f>
        <v>141389.79999999999</v>
      </c>
      <c r="D24" s="17">
        <f t="shared" ref="D24:E24" si="1">D21+D22+D23</f>
        <v>155528.78</v>
      </c>
      <c r="E24" s="17">
        <f t="shared" si="1"/>
        <v>171081.67799999999</v>
      </c>
      <c r="F24" s="17">
        <f t="shared" ref="F24:G24" si="2">F21+F22+F23</f>
        <v>188189.86780000001</v>
      </c>
      <c r="G24" s="17">
        <f t="shared" si="2"/>
        <v>207008.88678</v>
      </c>
      <c r="H24" s="70"/>
      <c r="I24" s="1"/>
    </row>
    <row r="25" spans="2:9" ht="15.75" x14ac:dyDescent="0.25">
      <c r="B25" s="4" t="s">
        <v>11</v>
      </c>
      <c r="C25" s="5"/>
      <c r="D25" s="5"/>
      <c r="E25" s="5"/>
      <c r="F25" s="5"/>
      <c r="G25" s="5"/>
      <c r="H25" s="1"/>
      <c r="I25" s="1"/>
    </row>
    <row r="26" spans="2:9" ht="47.25" x14ac:dyDescent="0.25">
      <c r="B26" s="11" t="s">
        <v>227</v>
      </c>
      <c r="C26" s="18">
        <v>0.95</v>
      </c>
      <c r="D26" s="18">
        <v>0.95</v>
      </c>
      <c r="E26" s="18">
        <v>0.95</v>
      </c>
      <c r="F26" s="18">
        <v>0.95</v>
      </c>
      <c r="G26" s="18">
        <v>0.95</v>
      </c>
      <c r="H26" s="1"/>
      <c r="I26" s="1"/>
    </row>
    <row r="27" spans="2:9" ht="33" customHeight="1" x14ac:dyDescent="0.25">
      <c r="B27" s="74" t="s">
        <v>58</v>
      </c>
      <c r="C27" s="75"/>
      <c r="D27" s="76" t="s">
        <v>54</v>
      </c>
      <c r="E27" s="77"/>
      <c r="F27" s="77"/>
      <c r="G27" s="78"/>
      <c r="H27" s="1"/>
      <c r="I27" s="1"/>
    </row>
    <row r="28" spans="2:9" ht="38.25" customHeight="1" x14ac:dyDescent="0.25">
      <c r="B28" s="15" t="s">
        <v>52</v>
      </c>
      <c r="C28" s="4" t="s">
        <v>242</v>
      </c>
      <c r="D28" s="4" t="s">
        <v>243</v>
      </c>
      <c r="E28" s="4" t="s">
        <v>191</v>
      </c>
      <c r="F28" s="4" t="s">
        <v>221</v>
      </c>
      <c r="G28" s="4" t="s">
        <v>244</v>
      </c>
      <c r="H28" s="1"/>
      <c r="I28" s="1"/>
    </row>
    <row r="29" spans="2:9" ht="16.5" customHeight="1" x14ac:dyDescent="0.25">
      <c r="B29" s="5" t="s">
        <v>53</v>
      </c>
      <c r="C29" s="12">
        <f>'Приложение 2'!G34</f>
        <v>208760.2</v>
      </c>
      <c r="D29" s="12">
        <f>'Приложение 2'!H34</f>
        <v>229636.22000000003</v>
      </c>
      <c r="E29" s="12">
        <f>'Приложение 2'!I34</f>
        <v>252599.82200000001</v>
      </c>
      <c r="F29" s="12">
        <f>'Приложение 2'!J34</f>
        <v>277859.78220000002</v>
      </c>
      <c r="G29" s="12">
        <f>'Приложение 2'!K34</f>
        <v>305645.77821999998</v>
      </c>
      <c r="H29" s="1"/>
      <c r="I29" s="1"/>
    </row>
    <row r="30" spans="2:9" ht="15.75" x14ac:dyDescent="0.25">
      <c r="B30" s="5" t="s">
        <v>9</v>
      </c>
      <c r="C30" s="13"/>
      <c r="D30" s="13"/>
      <c r="E30" s="13"/>
      <c r="F30" s="13"/>
      <c r="G30" s="13"/>
      <c r="H30" s="1"/>
      <c r="I30" s="1"/>
    </row>
    <row r="31" spans="2:9" ht="15.75" x14ac:dyDescent="0.25">
      <c r="B31" s="5" t="s">
        <v>10</v>
      </c>
      <c r="C31" s="13"/>
      <c r="D31" s="13"/>
      <c r="E31" s="13"/>
      <c r="F31" s="13"/>
      <c r="G31" s="13"/>
      <c r="H31" s="1"/>
      <c r="I31" s="1"/>
    </row>
    <row r="32" spans="2:9" ht="15.75" x14ac:dyDescent="0.25">
      <c r="B32" s="16" t="s">
        <v>57</v>
      </c>
      <c r="C32" s="17">
        <f>C29+C30+C31</f>
        <v>208760.2</v>
      </c>
      <c r="D32" s="17">
        <f t="shared" ref="D32:E32" si="3">D29+D30+D31</f>
        <v>229636.22000000003</v>
      </c>
      <c r="E32" s="17">
        <f t="shared" si="3"/>
        <v>252599.82200000001</v>
      </c>
      <c r="F32" s="17">
        <f t="shared" ref="F32:G32" si="4">F29+F30+F31</f>
        <v>277859.78220000002</v>
      </c>
      <c r="G32" s="17">
        <f t="shared" si="4"/>
        <v>305645.77821999998</v>
      </c>
      <c r="H32" s="70"/>
      <c r="I32" s="1"/>
    </row>
    <row r="33" spans="2:9" ht="31.5" x14ac:dyDescent="0.25">
      <c r="B33" s="11" t="s">
        <v>60</v>
      </c>
      <c r="C33" s="18">
        <v>0.36</v>
      </c>
      <c r="D33" s="18">
        <v>0.36</v>
      </c>
      <c r="E33" s="18">
        <v>0.36</v>
      </c>
      <c r="F33" s="18">
        <v>0.36</v>
      </c>
      <c r="G33" s="18">
        <v>0.36</v>
      </c>
      <c r="H33" s="1"/>
      <c r="I33" s="1"/>
    </row>
    <row r="34" spans="2:9" ht="78.75" x14ac:dyDescent="0.25">
      <c r="B34" s="11" t="s">
        <v>226</v>
      </c>
      <c r="C34" s="18">
        <v>0.85</v>
      </c>
      <c r="D34" s="18">
        <v>0.85</v>
      </c>
      <c r="E34" s="18">
        <v>0.85</v>
      </c>
      <c r="F34" s="18">
        <v>0.85</v>
      </c>
      <c r="G34" s="18">
        <v>0.85</v>
      </c>
      <c r="H34" s="1"/>
      <c r="I34" s="1"/>
    </row>
    <row r="35" spans="2:9" ht="37.5" customHeight="1" x14ac:dyDescent="0.25">
      <c r="B35" s="1"/>
      <c r="C35" s="1"/>
      <c r="D35" s="1"/>
      <c r="E35" s="1"/>
      <c r="F35" s="1"/>
      <c r="G35" s="1"/>
      <c r="H35" s="1"/>
      <c r="I35" s="1"/>
    </row>
    <row r="36" spans="2:9" x14ac:dyDescent="0.25">
      <c r="B36" s="1" t="s">
        <v>192</v>
      </c>
      <c r="C36" s="1"/>
      <c r="D36" s="1"/>
      <c r="E36" s="1"/>
      <c r="F36" s="1"/>
      <c r="G36" s="1"/>
      <c r="H36" s="1"/>
      <c r="I36" s="1"/>
    </row>
    <row r="37" spans="2:9" x14ac:dyDescent="0.25">
      <c r="B37" s="1"/>
      <c r="C37" s="1"/>
      <c r="D37" s="1"/>
      <c r="E37" s="1"/>
      <c r="F37" s="1"/>
      <c r="G37" s="1"/>
      <c r="H37" s="1"/>
      <c r="I37" s="1"/>
    </row>
    <row r="38" spans="2:9" x14ac:dyDescent="0.25">
      <c r="B38" s="1" t="s">
        <v>238</v>
      </c>
    </row>
    <row r="40" spans="2:9" hidden="1" x14ac:dyDescent="0.25">
      <c r="B40" s="1" t="s">
        <v>193</v>
      </c>
    </row>
    <row r="41" spans="2:9" hidden="1" x14ac:dyDescent="0.25">
      <c r="B41" s="1" t="s">
        <v>225</v>
      </c>
      <c r="C41" t="s">
        <v>194</v>
      </c>
    </row>
    <row r="43" spans="2:9" x14ac:dyDescent="0.25">
      <c r="B43" s="73"/>
      <c r="C43" s="73"/>
      <c r="D43" s="73"/>
      <c r="E43" s="73"/>
      <c r="F43" s="73"/>
      <c r="G43" s="73"/>
    </row>
    <row r="44" spans="2:9" x14ac:dyDescent="0.25">
      <c r="B44" s="73"/>
      <c r="C44" s="73"/>
      <c r="D44" s="73"/>
      <c r="E44" s="73"/>
      <c r="F44" s="73"/>
      <c r="G44" s="73"/>
    </row>
  </sheetData>
  <mergeCells count="11">
    <mergeCell ref="B43:G44"/>
    <mergeCell ref="B27:C27"/>
    <mergeCell ref="D27:G27"/>
    <mergeCell ref="B7:G7"/>
    <mergeCell ref="B8:G8"/>
    <mergeCell ref="B10:C10"/>
    <mergeCell ref="B19:C19"/>
    <mergeCell ref="B11:C11"/>
    <mergeCell ref="D10:G10"/>
    <mergeCell ref="D19:G19"/>
    <mergeCell ref="D11:G11"/>
  </mergeCells>
  <pageMargins left="0.51181102362204722" right="0.19685039370078741" top="0.35433070866141736" bottom="0.35433070866141736" header="0.31496062992125984" footer="0.31496062992125984"/>
  <pageSetup paperSize="9" scale="7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B1:O115"/>
  <sheetViews>
    <sheetView topLeftCell="B1" zoomScale="130" zoomScaleNormal="130" workbookViewId="0">
      <selection activeCell="H103" sqref="H103"/>
    </sheetView>
  </sheetViews>
  <sheetFormatPr defaultRowHeight="15" x14ac:dyDescent="0.25"/>
  <cols>
    <col min="1" max="1" width="3.7109375" customWidth="1"/>
    <col min="2" max="2" width="43.85546875" customWidth="1"/>
    <col min="3" max="3" width="14.42578125" customWidth="1"/>
    <col min="4" max="4" width="16.28515625" customWidth="1"/>
    <col min="5" max="5" width="15.42578125" customWidth="1"/>
    <col min="6" max="6" width="14.28515625" customWidth="1"/>
    <col min="7" max="7" width="15.28515625" customWidth="1"/>
  </cols>
  <sheetData>
    <row r="1" spans="2:9" x14ac:dyDescent="0.25">
      <c r="B1" s="41"/>
      <c r="C1" s="41"/>
      <c r="D1" s="42"/>
      <c r="E1" s="42"/>
      <c r="F1" s="41" t="s">
        <v>0</v>
      </c>
      <c r="G1" s="42"/>
      <c r="H1" s="1"/>
      <c r="I1" s="1"/>
    </row>
    <row r="2" spans="2:9" x14ac:dyDescent="0.25">
      <c r="B2" s="41"/>
      <c r="C2" s="41"/>
      <c r="D2" s="42"/>
      <c r="E2" s="42"/>
      <c r="F2" s="41" t="s">
        <v>1</v>
      </c>
      <c r="G2" s="42"/>
      <c r="H2" s="1"/>
      <c r="I2" s="1"/>
    </row>
    <row r="3" spans="2:9" x14ac:dyDescent="0.25">
      <c r="B3" s="41"/>
      <c r="C3" s="41"/>
      <c r="D3" s="42"/>
      <c r="E3" s="42"/>
      <c r="F3" s="41" t="s">
        <v>2</v>
      </c>
      <c r="G3" s="42"/>
      <c r="H3" s="1"/>
      <c r="I3" s="1"/>
    </row>
    <row r="4" spans="2:9" x14ac:dyDescent="0.25">
      <c r="B4" s="41"/>
      <c r="C4" s="41"/>
      <c r="D4" s="42"/>
      <c r="E4" s="42"/>
      <c r="F4" s="41" t="s">
        <v>3</v>
      </c>
      <c r="G4" s="42"/>
      <c r="H4" s="1"/>
      <c r="I4" s="1"/>
    </row>
    <row r="5" spans="2:9" x14ac:dyDescent="0.25">
      <c r="B5" s="41"/>
      <c r="C5" s="41"/>
      <c r="D5" s="42"/>
      <c r="E5" s="42"/>
      <c r="F5" s="41" t="s">
        <v>4</v>
      </c>
      <c r="G5" s="42"/>
      <c r="H5" s="1"/>
      <c r="I5" s="1"/>
    </row>
    <row r="6" spans="2:9" x14ac:dyDescent="0.25">
      <c r="B6" s="41"/>
      <c r="C6" s="41"/>
      <c r="D6" s="41"/>
      <c r="E6" s="41"/>
      <c r="F6" s="41"/>
      <c r="G6" s="41"/>
      <c r="H6" s="1"/>
      <c r="I6" s="1"/>
    </row>
    <row r="7" spans="2:9" x14ac:dyDescent="0.25">
      <c r="B7" s="100" t="s">
        <v>241</v>
      </c>
      <c r="C7" s="100"/>
      <c r="D7" s="100"/>
      <c r="E7" s="100"/>
      <c r="F7" s="100"/>
      <c r="G7" s="100"/>
      <c r="H7" s="1"/>
      <c r="I7" s="1"/>
    </row>
    <row r="8" spans="2:9" ht="21" customHeight="1" x14ac:dyDescent="0.25">
      <c r="B8" s="101" t="s">
        <v>237</v>
      </c>
      <c r="C8" s="101"/>
      <c r="D8" s="101"/>
      <c r="E8" s="101"/>
      <c r="F8" s="101"/>
      <c r="G8" s="101"/>
      <c r="H8" s="1"/>
      <c r="I8" s="1"/>
    </row>
    <row r="9" spans="2:9" x14ac:dyDescent="0.25">
      <c r="B9" s="43"/>
      <c r="C9" s="41"/>
      <c r="D9" s="41"/>
      <c r="E9" s="41"/>
      <c r="F9" s="41"/>
      <c r="G9" s="41"/>
      <c r="H9" s="1"/>
      <c r="I9" s="1"/>
    </row>
    <row r="10" spans="2:9" ht="36.75" customHeight="1" x14ac:dyDescent="0.25">
      <c r="B10" s="89" t="s">
        <v>6</v>
      </c>
      <c r="C10" s="90"/>
      <c r="D10" s="91" t="s">
        <v>36</v>
      </c>
      <c r="E10" s="92"/>
      <c r="F10" s="92"/>
      <c r="G10" s="93"/>
      <c r="H10" s="1"/>
      <c r="I10" s="1"/>
    </row>
    <row r="11" spans="2:9" ht="52.5" customHeight="1" x14ac:dyDescent="0.25">
      <c r="B11" s="94" t="s">
        <v>245</v>
      </c>
      <c r="C11" s="95"/>
      <c r="D11" s="94" t="s">
        <v>61</v>
      </c>
      <c r="E11" s="96"/>
      <c r="F11" s="96"/>
      <c r="G11" s="95"/>
      <c r="H11" s="1"/>
      <c r="I11" s="1"/>
    </row>
    <row r="12" spans="2:9" x14ac:dyDescent="0.25">
      <c r="B12" s="97"/>
      <c r="C12" s="98"/>
      <c r="D12" s="97"/>
      <c r="E12" s="99"/>
      <c r="F12" s="99"/>
      <c r="G12" s="98"/>
      <c r="H12" s="1"/>
      <c r="I12" s="1"/>
    </row>
    <row r="13" spans="2:9" ht="27" customHeight="1" x14ac:dyDescent="0.25">
      <c r="B13" s="44" t="s">
        <v>7</v>
      </c>
      <c r="C13" s="44" t="s">
        <v>246</v>
      </c>
      <c r="D13" s="44" t="s">
        <v>243</v>
      </c>
      <c r="E13" s="44" t="s">
        <v>191</v>
      </c>
      <c r="F13" s="44" t="s">
        <v>221</v>
      </c>
      <c r="G13" s="44" t="s">
        <v>244</v>
      </c>
      <c r="H13" s="1"/>
      <c r="I13" s="1"/>
    </row>
    <row r="14" spans="2:9" x14ac:dyDescent="0.25">
      <c r="B14" s="45" t="s">
        <v>8</v>
      </c>
      <c r="C14" s="46">
        <f>C23+C30+C39+C49+C56+C63+C70+C77+C84+C91+C98</f>
        <v>11487166.899999999</v>
      </c>
      <c r="D14" s="46">
        <f>D23+D30+D39+D49+D56+D63+D70+D77+D84+D91+D98</f>
        <v>11707265.890000001</v>
      </c>
      <c r="E14" s="46">
        <f>E23+E30+E39+E49+E56+E63+E70+E77+E84+E91+E98</f>
        <v>12877992.488999998</v>
      </c>
      <c r="F14" s="46">
        <f>F23+F30+F39+F49+F56+F63+F70+F77+F84+F91+F98</f>
        <v>14165791.6489</v>
      </c>
      <c r="G14" s="46">
        <f>G23+G30+G39+G49+G56+G63+G70+G77+G84+G91+G98</f>
        <v>15582370.664890002</v>
      </c>
      <c r="H14" s="1"/>
      <c r="I14" s="1"/>
    </row>
    <row r="15" spans="2:9" x14ac:dyDescent="0.25">
      <c r="B15" s="45" t="s">
        <v>37</v>
      </c>
      <c r="C15" s="46">
        <f>C24+C31+C40+C50+C64+C71+C78+C85+C92+C99</f>
        <v>444669.4</v>
      </c>
      <c r="D15" s="46">
        <f>D24+D31+D40+D50+D64+D71+D78+D85+D92+D99</f>
        <v>466902.9</v>
      </c>
      <c r="E15" s="46">
        <f>E24+E31+E40+E50+E64+E71+E78+E85+E92+E99</f>
        <v>513593.19</v>
      </c>
      <c r="F15" s="46">
        <f>F24+F31+F40+F50+F64+F71+F78+F85+F92+F99</f>
        <v>564952.51899999997</v>
      </c>
      <c r="G15" s="46">
        <f>G24+G31+G40+G50+G64+G71+G78+G85+G92+G99</f>
        <v>621447.75190000003</v>
      </c>
      <c r="H15" s="1"/>
      <c r="I15" s="1"/>
    </row>
    <row r="16" spans="2:9" x14ac:dyDescent="0.25">
      <c r="B16" s="45" t="s">
        <v>10</v>
      </c>
      <c r="C16" s="47"/>
      <c r="D16" s="47"/>
      <c r="E16" s="47"/>
      <c r="F16" s="47"/>
      <c r="G16" s="47"/>
      <c r="H16" s="1"/>
      <c r="I16" s="1"/>
    </row>
    <row r="17" spans="2:15" x14ac:dyDescent="0.25">
      <c r="B17" s="48" t="s">
        <v>62</v>
      </c>
      <c r="C17" s="119">
        <f>C14+C15+C16</f>
        <v>11931836.299999999</v>
      </c>
      <c r="D17" s="49">
        <f>D14+D15+D16</f>
        <v>12174168.790000001</v>
      </c>
      <c r="E17" s="49">
        <f t="shared" ref="E17:F17" si="0">E14+E15+E16</f>
        <v>13391585.678999998</v>
      </c>
      <c r="F17" s="49">
        <f t="shared" si="0"/>
        <v>14730744.1679</v>
      </c>
      <c r="G17" s="49">
        <f t="shared" ref="G17" si="1">G14+G15+G16</f>
        <v>16203818.416790003</v>
      </c>
      <c r="H17" s="1"/>
      <c r="I17" s="87"/>
      <c r="J17" s="87"/>
      <c r="K17" s="87"/>
      <c r="L17" s="87"/>
      <c r="M17" s="87"/>
      <c r="N17" s="87"/>
      <c r="O17" s="87"/>
    </row>
    <row r="18" spans="2:15" x14ac:dyDescent="0.25">
      <c r="B18" s="44" t="s">
        <v>11</v>
      </c>
      <c r="C18" s="45"/>
      <c r="D18" s="45"/>
      <c r="E18" s="45"/>
      <c r="F18" s="45"/>
      <c r="G18" s="45"/>
      <c r="H18" s="1"/>
      <c r="I18" s="87"/>
      <c r="J18" s="87"/>
      <c r="K18" s="87"/>
      <c r="L18" s="87"/>
      <c r="M18" s="87"/>
      <c r="N18" s="87"/>
      <c r="O18" s="87"/>
    </row>
    <row r="19" spans="2:15" ht="38.25" x14ac:dyDescent="0.25">
      <c r="B19" s="50" t="s">
        <v>228</v>
      </c>
      <c r="C19" s="51">
        <v>0.36899999999999999</v>
      </c>
      <c r="D19" s="51">
        <v>0.36899999999999999</v>
      </c>
      <c r="E19" s="51">
        <v>0.36899999999999999</v>
      </c>
      <c r="F19" s="51">
        <v>0.36899999999999999</v>
      </c>
      <c r="G19" s="51">
        <v>0.36899999999999999</v>
      </c>
      <c r="H19" s="1"/>
      <c r="I19" s="87"/>
      <c r="J19" s="87"/>
      <c r="K19" s="87"/>
      <c r="L19" s="87"/>
      <c r="M19" s="87"/>
      <c r="N19" s="87"/>
      <c r="O19" s="87"/>
    </row>
    <row r="20" spans="2:15" ht="51" x14ac:dyDescent="0.25">
      <c r="B20" s="53" t="s">
        <v>236</v>
      </c>
      <c r="C20" s="52">
        <v>0.65</v>
      </c>
      <c r="D20" s="52">
        <v>0.65</v>
      </c>
      <c r="E20" s="52">
        <v>0.65</v>
      </c>
      <c r="F20" s="52">
        <v>0.65</v>
      </c>
      <c r="G20" s="52">
        <v>0.65</v>
      </c>
      <c r="H20" s="1"/>
      <c r="I20" s="1"/>
    </row>
    <row r="21" spans="2:15" ht="25.5" x14ac:dyDescent="0.25">
      <c r="B21" s="53" t="s">
        <v>229</v>
      </c>
      <c r="C21" s="52">
        <v>0.83</v>
      </c>
      <c r="D21" s="52">
        <v>0.84</v>
      </c>
      <c r="E21" s="52">
        <v>0.84</v>
      </c>
      <c r="F21" s="52">
        <v>0.84</v>
      </c>
      <c r="G21" s="52">
        <v>0.84</v>
      </c>
      <c r="H21" s="1"/>
      <c r="I21" s="1"/>
    </row>
    <row r="22" spans="2:15" ht="29.25" customHeight="1" x14ac:dyDescent="0.25">
      <c r="B22" s="89" t="s">
        <v>63</v>
      </c>
      <c r="C22" s="90"/>
      <c r="D22" s="102" t="s">
        <v>64</v>
      </c>
      <c r="E22" s="103"/>
      <c r="F22" s="103"/>
      <c r="G22" s="104"/>
      <c r="H22" s="1"/>
      <c r="I22" s="1"/>
    </row>
    <row r="23" spans="2:15" x14ac:dyDescent="0.25">
      <c r="B23" s="45" t="s">
        <v>8</v>
      </c>
      <c r="C23" s="54">
        <f>'Приложение 2'!G47</f>
        <v>842016.8</v>
      </c>
      <c r="D23" s="54">
        <f>'Приложение 2'!H47</f>
        <v>926218.4800000001</v>
      </c>
      <c r="E23" s="54">
        <f>'Приложение 2'!I47</f>
        <v>1018840.348</v>
      </c>
      <c r="F23" s="54">
        <f>'Приложение 2'!J47</f>
        <v>1120724.3348000001</v>
      </c>
      <c r="G23" s="54">
        <f>'Приложение 2'!K47</f>
        <v>1232796.7334799999</v>
      </c>
      <c r="H23" s="1"/>
      <c r="I23" s="1"/>
    </row>
    <row r="24" spans="2:15" x14ac:dyDescent="0.25">
      <c r="B24" s="45" t="s">
        <v>37</v>
      </c>
      <c r="C24" s="54"/>
      <c r="D24" s="47"/>
      <c r="E24" s="54"/>
      <c r="F24" s="47"/>
      <c r="G24" s="54"/>
      <c r="H24" s="1"/>
      <c r="I24" s="1"/>
    </row>
    <row r="25" spans="2:15" x14ac:dyDescent="0.25">
      <c r="B25" s="45" t="s">
        <v>10</v>
      </c>
      <c r="C25" s="47"/>
      <c r="D25" s="47"/>
      <c r="E25" s="47"/>
      <c r="F25" s="47"/>
      <c r="G25" s="47"/>
      <c r="H25" s="1"/>
      <c r="I25" s="1"/>
    </row>
    <row r="26" spans="2:15" x14ac:dyDescent="0.25">
      <c r="B26" s="48" t="s">
        <v>56</v>
      </c>
      <c r="C26" s="49">
        <f>C23+C24+C25</f>
        <v>842016.8</v>
      </c>
      <c r="D26" s="49">
        <f t="shared" ref="D26:E26" si="2">D23+D24+D25</f>
        <v>926218.4800000001</v>
      </c>
      <c r="E26" s="49">
        <f t="shared" si="2"/>
        <v>1018840.348</v>
      </c>
      <c r="F26" s="49">
        <f t="shared" ref="F26:G26" si="3">F23+F24+F25</f>
        <v>1120724.3348000001</v>
      </c>
      <c r="G26" s="49">
        <f t="shared" si="3"/>
        <v>1232796.7334799999</v>
      </c>
      <c r="H26" s="70"/>
      <c r="I26" s="1"/>
    </row>
    <row r="27" spans="2:15" x14ac:dyDescent="0.25">
      <c r="B27" s="44" t="s">
        <v>11</v>
      </c>
      <c r="C27" s="45"/>
      <c r="D27" s="45"/>
      <c r="E27" s="45"/>
      <c r="F27" s="45"/>
      <c r="G27" s="45"/>
      <c r="H27" s="1"/>
      <c r="I27" s="1"/>
    </row>
    <row r="28" spans="2:15" ht="38.25" x14ac:dyDescent="0.25">
      <c r="B28" s="50" t="s">
        <v>65</v>
      </c>
      <c r="C28" s="52">
        <v>1</v>
      </c>
      <c r="D28" s="52">
        <v>1</v>
      </c>
      <c r="E28" s="52">
        <v>1</v>
      </c>
      <c r="F28" s="52">
        <v>1</v>
      </c>
      <c r="G28" s="52">
        <v>1</v>
      </c>
      <c r="H28" s="1"/>
      <c r="I28" s="1"/>
    </row>
    <row r="29" spans="2:15" ht="30" customHeight="1" x14ac:dyDescent="0.25">
      <c r="B29" s="89" t="s">
        <v>66</v>
      </c>
      <c r="C29" s="90"/>
      <c r="D29" s="91" t="s">
        <v>67</v>
      </c>
      <c r="E29" s="92"/>
      <c r="F29" s="92"/>
      <c r="G29" s="93"/>
      <c r="H29" s="1"/>
      <c r="I29" s="1"/>
    </row>
    <row r="30" spans="2:15" x14ac:dyDescent="0.25">
      <c r="B30" s="45" t="s">
        <v>8</v>
      </c>
      <c r="C30" s="54">
        <f>'Приложение 2'!G55+'Приложение 2'!G58</f>
        <v>9262677.1999999993</v>
      </c>
      <c r="D30" s="54">
        <f>'Приложение 2'!H55+'Приложение 2'!H58</f>
        <v>9428101.1999999993</v>
      </c>
      <c r="E30" s="54">
        <f>'Приложение 2'!I55+'Приложение 2'!I58</f>
        <v>10370911.319999998</v>
      </c>
      <c r="F30" s="54">
        <f>'Приложение 2'!J55+'Приложение 2'!J58</f>
        <v>11408002.432</v>
      </c>
      <c r="G30" s="54">
        <f>'Приложение 2'!K55+'Приложение 2'!K58</f>
        <v>12548802.643200001</v>
      </c>
      <c r="H30" s="1"/>
      <c r="I30" s="1"/>
    </row>
    <row r="31" spans="2:15" x14ac:dyDescent="0.25">
      <c r="B31" s="45" t="s">
        <v>37</v>
      </c>
      <c r="C31" s="54"/>
      <c r="D31" s="47"/>
      <c r="E31" s="47"/>
      <c r="F31" s="47"/>
      <c r="G31" s="47"/>
      <c r="H31" s="1"/>
      <c r="I31" s="1"/>
    </row>
    <row r="32" spans="2:15" x14ac:dyDescent="0.25">
      <c r="B32" s="45" t="s">
        <v>10</v>
      </c>
      <c r="C32" s="47"/>
      <c r="D32" s="47"/>
      <c r="E32" s="47"/>
      <c r="F32" s="47"/>
      <c r="G32" s="47"/>
      <c r="H32" s="1"/>
      <c r="I32" s="1"/>
    </row>
    <row r="33" spans="2:9" x14ac:dyDescent="0.25">
      <c r="B33" s="48" t="s">
        <v>57</v>
      </c>
      <c r="C33" s="49">
        <f>C30+C31+C32</f>
        <v>9262677.1999999993</v>
      </c>
      <c r="D33" s="49">
        <f t="shared" ref="D33" si="4">D30+D31+D32</f>
        <v>9428101.1999999993</v>
      </c>
      <c r="E33" s="49">
        <f t="shared" ref="E33:G33" si="5">E30+E31+E32</f>
        <v>10370911.319999998</v>
      </c>
      <c r="F33" s="49">
        <f t="shared" si="5"/>
        <v>11408002.432</v>
      </c>
      <c r="G33" s="49">
        <f t="shared" si="5"/>
        <v>12548802.643200001</v>
      </c>
      <c r="H33" s="70"/>
      <c r="I33" s="1"/>
    </row>
    <row r="34" spans="2:9" x14ac:dyDescent="0.25">
      <c r="B34" s="44" t="s">
        <v>11</v>
      </c>
      <c r="C34" s="45"/>
      <c r="D34" s="45"/>
      <c r="E34" s="45"/>
      <c r="F34" s="45"/>
      <c r="G34" s="45"/>
      <c r="H34" s="1"/>
      <c r="I34" s="1"/>
    </row>
    <row r="35" spans="2:9" ht="31.5" customHeight="1" x14ac:dyDescent="0.25">
      <c r="B35" s="53" t="s">
        <v>230</v>
      </c>
      <c r="C35" s="55">
        <v>0.65</v>
      </c>
      <c r="D35" s="55">
        <v>0.65</v>
      </c>
      <c r="E35" s="55">
        <v>0.65</v>
      </c>
      <c r="F35" s="55">
        <v>0.65</v>
      </c>
      <c r="G35" s="55">
        <v>0.65</v>
      </c>
      <c r="H35" s="1"/>
      <c r="I35" s="1"/>
    </row>
    <row r="36" spans="2:9" ht="78.75" customHeight="1" x14ac:dyDescent="0.25">
      <c r="B36" s="53" t="s">
        <v>231</v>
      </c>
      <c r="C36" s="55">
        <v>0.7</v>
      </c>
      <c r="D36" s="55">
        <v>0.7</v>
      </c>
      <c r="E36" s="55">
        <v>0.7</v>
      </c>
      <c r="F36" s="55">
        <v>0.7</v>
      </c>
      <c r="G36" s="55">
        <v>0.7</v>
      </c>
      <c r="H36" s="1"/>
      <c r="I36" s="1"/>
    </row>
    <row r="37" spans="2:9" ht="51" x14ac:dyDescent="0.25">
      <c r="B37" s="53" t="s">
        <v>232</v>
      </c>
      <c r="C37" s="55">
        <v>0.55000000000000004</v>
      </c>
      <c r="D37" s="55">
        <v>0.55000000000000004</v>
      </c>
      <c r="E37" s="55">
        <v>0.55000000000000004</v>
      </c>
      <c r="F37" s="55">
        <v>0.55000000000000004</v>
      </c>
      <c r="G37" s="55">
        <v>0.55000000000000004</v>
      </c>
      <c r="H37" s="1"/>
      <c r="I37" s="1"/>
    </row>
    <row r="38" spans="2:9" ht="69.75" customHeight="1" x14ac:dyDescent="0.25">
      <c r="B38" s="89" t="s">
        <v>69</v>
      </c>
      <c r="C38" s="90"/>
      <c r="D38" s="91" t="s">
        <v>70</v>
      </c>
      <c r="E38" s="92"/>
      <c r="F38" s="92"/>
      <c r="G38" s="93"/>
      <c r="H38" s="1"/>
      <c r="I38" s="1"/>
    </row>
    <row r="39" spans="2:9" x14ac:dyDescent="0.25">
      <c r="B39" s="45" t="s">
        <v>8</v>
      </c>
      <c r="C39" s="54">
        <f>'Приложение 2'!G63</f>
        <v>500899.7</v>
      </c>
      <c r="D39" s="54">
        <f>'Приложение 2'!H63</f>
        <v>500899.7</v>
      </c>
      <c r="E39" s="54">
        <f>'Приложение 2'!I63</f>
        <v>550989.67000000004</v>
      </c>
      <c r="F39" s="54">
        <f>'Приложение 2'!J63</f>
        <v>606088.6669999999</v>
      </c>
      <c r="G39" s="54">
        <f>'Приложение 2'!K63</f>
        <v>666697.56669999997</v>
      </c>
      <c r="H39" s="1"/>
      <c r="I39" s="1"/>
    </row>
    <row r="40" spans="2:9" x14ac:dyDescent="0.25">
      <c r="B40" s="45" t="s">
        <v>37</v>
      </c>
      <c r="C40" s="54"/>
      <c r="D40" s="47"/>
      <c r="E40" s="47"/>
      <c r="F40" s="47"/>
      <c r="G40" s="47"/>
      <c r="H40" s="1"/>
      <c r="I40" s="1"/>
    </row>
    <row r="41" spans="2:9" x14ac:dyDescent="0.25">
      <c r="B41" s="45" t="s">
        <v>10</v>
      </c>
      <c r="C41" s="47"/>
      <c r="D41" s="47"/>
      <c r="E41" s="47"/>
      <c r="F41" s="47"/>
      <c r="G41" s="47"/>
      <c r="H41" s="1"/>
      <c r="I41" s="1"/>
    </row>
    <row r="42" spans="2:9" x14ac:dyDescent="0.25">
      <c r="B42" s="48" t="s">
        <v>73</v>
      </c>
      <c r="C42" s="49">
        <f>C39+C40+C41</f>
        <v>500899.7</v>
      </c>
      <c r="D42" s="49">
        <f t="shared" ref="D42" si="6">D39+D40+D41</f>
        <v>500899.7</v>
      </c>
      <c r="E42" s="49">
        <f t="shared" ref="E42:G42" si="7">E39+E40+E41</f>
        <v>550989.67000000004</v>
      </c>
      <c r="F42" s="49">
        <f t="shared" si="7"/>
        <v>606088.6669999999</v>
      </c>
      <c r="G42" s="49">
        <f t="shared" si="7"/>
        <v>666697.56669999997</v>
      </c>
      <c r="H42" s="70"/>
      <c r="I42" s="1"/>
    </row>
    <row r="43" spans="2:9" x14ac:dyDescent="0.25">
      <c r="B43" s="44" t="s">
        <v>11</v>
      </c>
      <c r="C43" s="45"/>
      <c r="D43" s="45"/>
      <c r="E43" s="45"/>
      <c r="F43" s="45"/>
      <c r="G43" s="45"/>
      <c r="H43" s="1"/>
      <c r="I43" s="1"/>
    </row>
    <row r="44" spans="2:9" ht="51" x14ac:dyDescent="0.25">
      <c r="B44" s="56" t="s">
        <v>247</v>
      </c>
      <c r="C44" s="69">
        <v>72500</v>
      </c>
      <c r="D44" s="69">
        <v>72500</v>
      </c>
      <c r="E44" s="69">
        <v>72500</v>
      </c>
      <c r="F44" s="69">
        <v>72500</v>
      </c>
      <c r="G44" s="69">
        <v>72500</v>
      </c>
      <c r="H44" s="1"/>
      <c r="I44" s="1"/>
    </row>
    <row r="45" spans="2:9" ht="51" x14ac:dyDescent="0.25">
      <c r="B45" s="56" t="s">
        <v>248</v>
      </c>
      <c r="C45" s="57">
        <v>1</v>
      </c>
      <c r="D45" s="57">
        <v>1</v>
      </c>
      <c r="E45" s="57">
        <v>1</v>
      </c>
      <c r="F45" s="57">
        <v>1</v>
      </c>
      <c r="G45" s="57">
        <v>1</v>
      </c>
      <c r="H45" s="1"/>
      <c r="I45" s="1"/>
    </row>
    <row r="46" spans="2:9" ht="38.25" x14ac:dyDescent="0.25">
      <c r="B46" s="56" t="s">
        <v>249</v>
      </c>
      <c r="C46" s="57">
        <v>0.8</v>
      </c>
      <c r="D46" s="57">
        <v>0.8</v>
      </c>
      <c r="E46" s="57">
        <v>0.8</v>
      </c>
      <c r="F46" s="57">
        <v>0.8</v>
      </c>
      <c r="G46" s="57">
        <v>0.8</v>
      </c>
      <c r="H46" s="1"/>
      <c r="I46" s="1"/>
    </row>
    <row r="47" spans="2:9" ht="38.25" x14ac:dyDescent="0.25">
      <c r="B47" s="56" t="s">
        <v>250</v>
      </c>
      <c r="C47" s="57">
        <v>0.6</v>
      </c>
      <c r="D47" s="57">
        <v>0.6</v>
      </c>
      <c r="E47" s="57">
        <v>0.6</v>
      </c>
      <c r="F47" s="57">
        <v>0.6</v>
      </c>
      <c r="G47" s="57">
        <v>0.6</v>
      </c>
      <c r="H47" s="1"/>
      <c r="I47" s="1"/>
    </row>
    <row r="48" spans="2:9" ht="38.25" customHeight="1" x14ac:dyDescent="0.25">
      <c r="B48" s="89" t="s">
        <v>71</v>
      </c>
      <c r="C48" s="90"/>
      <c r="D48" s="91" t="s">
        <v>72</v>
      </c>
      <c r="E48" s="92"/>
      <c r="F48" s="92"/>
      <c r="G48" s="93"/>
      <c r="H48" s="1"/>
      <c r="I48" s="1"/>
    </row>
    <row r="49" spans="2:9" x14ac:dyDescent="0.25">
      <c r="B49" s="45" t="s">
        <v>8</v>
      </c>
      <c r="C49" s="54">
        <f>'Приложение 2'!G71</f>
        <v>46073.1</v>
      </c>
      <c r="D49" s="54">
        <f>'Приложение 2'!H71</f>
        <v>50680.409999999996</v>
      </c>
      <c r="E49" s="54">
        <f>'Приложение 2'!I71</f>
        <v>55748.440999999999</v>
      </c>
      <c r="F49" s="54">
        <f>'Приложение 2'!J71</f>
        <v>61323.244100000004</v>
      </c>
      <c r="G49" s="54">
        <f>'Приложение 2'!K71</f>
        <v>67455.524409999998</v>
      </c>
      <c r="H49" s="1"/>
      <c r="I49" s="1"/>
    </row>
    <row r="50" spans="2:9" x14ac:dyDescent="0.25">
      <c r="B50" s="45" t="s">
        <v>37</v>
      </c>
      <c r="C50" s="54"/>
      <c r="D50" s="47"/>
      <c r="E50" s="47"/>
      <c r="F50" s="47"/>
      <c r="G50" s="47"/>
      <c r="H50" s="1"/>
      <c r="I50" s="1"/>
    </row>
    <row r="51" spans="2:9" x14ac:dyDescent="0.25">
      <c r="B51" s="45" t="s">
        <v>10</v>
      </c>
      <c r="C51" s="47"/>
      <c r="D51" s="47"/>
      <c r="E51" s="47"/>
      <c r="F51" s="47"/>
      <c r="G51" s="47"/>
      <c r="H51" s="1"/>
      <c r="I51" s="1"/>
    </row>
    <row r="52" spans="2:9" x14ac:dyDescent="0.25">
      <c r="B52" s="48" t="s">
        <v>74</v>
      </c>
      <c r="C52" s="49">
        <f>C49+C50+C51</f>
        <v>46073.1</v>
      </c>
      <c r="D52" s="49">
        <f t="shared" ref="D52:G52" si="8">D49+D50+D51</f>
        <v>50680.409999999996</v>
      </c>
      <c r="E52" s="49">
        <f t="shared" si="8"/>
        <v>55748.440999999999</v>
      </c>
      <c r="F52" s="49">
        <f t="shared" si="8"/>
        <v>61323.244100000004</v>
      </c>
      <c r="G52" s="49">
        <f t="shared" si="8"/>
        <v>67455.524409999998</v>
      </c>
      <c r="H52" s="70"/>
      <c r="I52" s="1"/>
    </row>
    <row r="53" spans="2:9" x14ac:dyDescent="0.25">
      <c r="B53" s="44" t="s">
        <v>11</v>
      </c>
      <c r="C53" s="45"/>
      <c r="D53" s="45"/>
      <c r="E53" s="45"/>
      <c r="F53" s="45"/>
      <c r="G53" s="45"/>
      <c r="H53" s="1"/>
      <c r="I53" s="1"/>
    </row>
    <row r="54" spans="2:9" ht="38.25" x14ac:dyDescent="0.25">
      <c r="B54" s="50" t="s">
        <v>75</v>
      </c>
      <c r="C54" s="60">
        <v>1900</v>
      </c>
      <c r="D54" s="58">
        <v>1950</v>
      </c>
      <c r="E54" s="58">
        <v>1950</v>
      </c>
      <c r="F54" s="58">
        <v>1950</v>
      </c>
      <c r="G54" s="58">
        <v>1950</v>
      </c>
      <c r="H54" s="1"/>
      <c r="I54" s="1"/>
    </row>
    <row r="55" spans="2:9" ht="80.25" customHeight="1" x14ac:dyDescent="0.25">
      <c r="B55" s="89" t="s">
        <v>76</v>
      </c>
      <c r="C55" s="90"/>
      <c r="D55" s="91" t="s">
        <v>77</v>
      </c>
      <c r="E55" s="92"/>
      <c r="F55" s="92"/>
      <c r="G55" s="93"/>
      <c r="H55" s="1"/>
      <c r="I55" s="1"/>
    </row>
    <row r="56" spans="2:9" x14ac:dyDescent="0.25">
      <c r="B56" s="45" t="s">
        <v>8</v>
      </c>
      <c r="C56" s="54">
        <f>'Приложение 2'!G79</f>
        <v>75000</v>
      </c>
      <c r="D56" s="54">
        <f>'Приложение 2'!H79</f>
        <v>80000</v>
      </c>
      <c r="E56" s="54">
        <f>'Приложение 2'!I79</f>
        <v>88000</v>
      </c>
      <c r="F56" s="54">
        <f>'Приложение 2'!J79</f>
        <v>96800</v>
      </c>
      <c r="G56" s="54">
        <f>'Приложение 2'!K79</f>
        <v>106480</v>
      </c>
      <c r="H56" s="1"/>
      <c r="I56" s="1"/>
    </row>
    <row r="57" spans="2:9" x14ac:dyDescent="0.25">
      <c r="B57" s="45" t="s">
        <v>37</v>
      </c>
      <c r="C57" s="54"/>
      <c r="D57" s="47"/>
      <c r="E57" s="47"/>
      <c r="F57" s="47"/>
      <c r="G57" s="47"/>
      <c r="H57" s="1"/>
      <c r="I57" s="1"/>
    </row>
    <row r="58" spans="2:9" x14ac:dyDescent="0.25">
      <c r="B58" s="45" t="s">
        <v>10</v>
      </c>
      <c r="C58" s="47"/>
      <c r="D58" s="47"/>
      <c r="E58" s="47"/>
      <c r="F58" s="47"/>
      <c r="G58" s="47"/>
      <c r="H58" s="1"/>
      <c r="I58" s="1"/>
    </row>
    <row r="59" spans="2:9" x14ac:dyDescent="0.25">
      <c r="B59" s="48" t="s">
        <v>79</v>
      </c>
      <c r="C59" s="49">
        <f>C56+C57+C58</f>
        <v>75000</v>
      </c>
      <c r="D59" s="49">
        <f t="shared" ref="D59:G59" si="9">D56+D57+D58</f>
        <v>80000</v>
      </c>
      <c r="E59" s="49">
        <f t="shared" si="9"/>
        <v>88000</v>
      </c>
      <c r="F59" s="49">
        <f t="shared" si="9"/>
        <v>96800</v>
      </c>
      <c r="G59" s="49">
        <f t="shared" si="9"/>
        <v>106480</v>
      </c>
      <c r="H59" s="1"/>
      <c r="I59" s="1"/>
    </row>
    <row r="60" spans="2:9" x14ac:dyDescent="0.25">
      <c r="B60" s="44" t="s">
        <v>11</v>
      </c>
      <c r="C60" s="45"/>
      <c r="D60" s="45"/>
      <c r="E60" s="45"/>
      <c r="F60" s="45"/>
      <c r="G60" s="45"/>
      <c r="H60" s="1"/>
      <c r="I60" s="1"/>
    </row>
    <row r="61" spans="2:9" ht="38.25" x14ac:dyDescent="0.25">
      <c r="B61" s="50" t="s">
        <v>78</v>
      </c>
      <c r="C61" s="59">
        <v>0.9</v>
      </c>
      <c r="D61" s="59">
        <v>0.9</v>
      </c>
      <c r="E61" s="59">
        <v>0.9</v>
      </c>
      <c r="F61" s="59">
        <v>0.9</v>
      </c>
      <c r="G61" s="59">
        <v>0.9</v>
      </c>
      <c r="H61" s="1"/>
      <c r="I61" s="1"/>
    </row>
    <row r="62" spans="2:9" ht="42.75" customHeight="1" x14ac:dyDescent="0.25">
      <c r="B62" s="89" t="s">
        <v>80</v>
      </c>
      <c r="C62" s="90"/>
      <c r="D62" s="91" t="s">
        <v>82</v>
      </c>
      <c r="E62" s="92"/>
      <c r="F62" s="92"/>
      <c r="G62" s="93"/>
      <c r="H62" s="1"/>
      <c r="I62" s="1"/>
    </row>
    <row r="63" spans="2:9" x14ac:dyDescent="0.25">
      <c r="B63" s="45" t="s">
        <v>8</v>
      </c>
      <c r="C63" s="54">
        <f>'Приложение 2'!G87+'Приложение 2'!G90</f>
        <v>617538.5</v>
      </c>
      <c r="D63" s="54">
        <f>'Приложение 2'!H87+'Приложение 2'!H90</f>
        <v>710169.3</v>
      </c>
      <c r="E63" s="54">
        <f>'Приложение 2'!I87+'Приложение 2'!I90</f>
        <v>781186.2300000001</v>
      </c>
      <c r="F63" s="54">
        <f>'Приложение 2'!J87+'Приложение 2'!J90</f>
        <v>859304.82299999997</v>
      </c>
      <c r="G63" s="54">
        <f>'Приложение 2'!K87+'Приложение 2'!K90</f>
        <v>945235.28230000008</v>
      </c>
      <c r="H63" s="1"/>
      <c r="I63" s="1"/>
    </row>
    <row r="64" spans="2:9" x14ac:dyDescent="0.25">
      <c r="B64" s="45" t="s">
        <v>37</v>
      </c>
      <c r="C64" s="54"/>
      <c r="D64" s="47"/>
      <c r="E64" s="47"/>
      <c r="F64" s="47"/>
      <c r="G64" s="47"/>
      <c r="H64" s="1"/>
      <c r="I64" s="1"/>
    </row>
    <row r="65" spans="2:9" x14ac:dyDescent="0.25">
      <c r="B65" s="45" t="s">
        <v>10</v>
      </c>
      <c r="C65" s="47"/>
      <c r="D65" s="47"/>
      <c r="E65" s="47"/>
      <c r="F65" s="47"/>
      <c r="G65" s="47"/>
      <c r="H65" s="1"/>
      <c r="I65" s="1"/>
    </row>
    <row r="66" spans="2:9" x14ac:dyDescent="0.25">
      <c r="B66" s="48" t="s">
        <v>81</v>
      </c>
      <c r="C66" s="49">
        <f>C63+C64+C65</f>
        <v>617538.5</v>
      </c>
      <c r="D66" s="49">
        <f t="shared" ref="D66:G66" si="10">D63+D64+D65</f>
        <v>710169.3</v>
      </c>
      <c r="E66" s="49">
        <f t="shared" si="10"/>
        <v>781186.2300000001</v>
      </c>
      <c r="F66" s="49">
        <f t="shared" si="10"/>
        <v>859304.82299999997</v>
      </c>
      <c r="G66" s="49">
        <f t="shared" si="10"/>
        <v>945235.28230000008</v>
      </c>
      <c r="H66" s="70"/>
      <c r="I66" s="1"/>
    </row>
    <row r="67" spans="2:9" x14ac:dyDescent="0.25">
      <c r="B67" s="44" t="s">
        <v>11</v>
      </c>
      <c r="C67" s="45"/>
      <c r="D67" s="45"/>
      <c r="E67" s="45"/>
      <c r="F67" s="45"/>
      <c r="G67" s="45"/>
      <c r="H67" s="1"/>
      <c r="I67" s="1"/>
    </row>
    <row r="68" spans="2:9" ht="38.25" x14ac:dyDescent="0.25">
      <c r="B68" s="50" t="s">
        <v>83</v>
      </c>
      <c r="C68" s="59">
        <v>0.5</v>
      </c>
      <c r="D68" s="59">
        <v>0.5</v>
      </c>
      <c r="E68" s="59">
        <v>0.5</v>
      </c>
      <c r="F68" s="59">
        <v>0.5</v>
      </c>
      <c r="G68" s="59">
        <v>0.5</v>
      </c>
      <c r="H68" s="1"/>
      <c r="I68" s="1"/>
    </row>
    <row r="69" spans="2:9" ht="29.25" customHeight="1" x14ac:dyDescent="0.25">
      <c r="B69" s="89" t="s">
        <v>84</v>
      </c>
      <c r="C69" s="90"/>
      <c r="D69" s="91" t="s">
        <v>86</v>
      </c>
      <c r="E69" s="92"/>
      <c r="F69" s="92"/>
      <c r="G69" s="93"/>
      <c r="H69" s="1"/>
      <c r="I69" s="1"/>
    </row>
    <row r="70" spans="2:9" x14ac:dyDescent="0.25">
      <c r="B70" s="45" t="s">
        <v>8</v>
      </c>
      <c r="C70" s="54"/>
      <c r="D70" s="54"/>
      <c r="E70" s="54"/>
      <c r="F70" s="54"/>
      <c r="G70" s="54"/>
      <c r="H70" s="1"/>
      <c r="I70" s="1"/>
    </row>
    <row r="71" spans="2:9" x14ac:dyDescent="0.25">
      <c r="B71" s="45" t="s">
        <v>37</v>
      </c>
      <c r="C71" s="54">
        <f>'Приложение 2'!G96</f>
        <v>155278.6</v>
      </c>
      <c r="D71" s="54">
        <f>'Приложение 2'!H96</f>
        <v>163042.5</v>
      </c>
      <c r="E71" s="54">
        <f>'Приложение 2'!I96</f>
        <v>179346.75</v>
      </c>
      <c r="F71" s="54">
        <f>'Приложение 2'!J96</f>
        <v>197281.47499999998</v>
      </c>
      <c r="G71" s="54">
        <f>'Приложение 2'!K96</f>
        <v>217009.64749999999</v>
      </c>
      <c r="H71" s="1"/>
      <c r="I71" s="1"/>
    </row>
    <row r="72" spans="2:9" x14ac:dyDescent="0.25">
      <c r="B72" s="45" t="s">
        <v>10</v>
      </c>
      <c r="C72" s="47"/>
      <c r="D72" s="47"/>
      <c r="E72" s="47"/>
      <c r="F72" s="47"/>
      <c r="G72" s="47"/>
      <c r="H72" s="1"/>
      <c r="I72" s="1"/>
    </row>
    <row r="73" spans="2:9" x14ac:dyDescent="0.25">
      <c r="B73" s="48" t="s">
        <v>85</v>
      </c>
      <c r="C73" s="49">
        <f>C70+C71+C72</f>
        <v>155278.6</v>
      </c>
      <c r="D73" s="49">
        <f t="shared" ref="D73:G73" si="11">D70+D71+D72</f>
        <v>163042.5</v>
      </c>
      <c r="E73" s="49">
        <f t="shared" si="11"/>
        <v>179346.75</v>
      </c>
      <c r="F73" s="49">
        <f t="shared" si="11"/>
        <v>197281.47499999998</v>
      </c>
      <c r="G73" s="49">
        <f t="shared" si="11"/>
        <v>217009.64749999999</v>
      </c>
      <c r="H73" s="70"/>
      <c r="I73" s="1"/>
    </row>
    <row r="74" spans="2:9" x14ac:dyDescent="0.25">
      <c r="B74" s="44" t="s">
        <v>11</v>
      </c>
      <c r="C74" s="45"/>
      <c r="D74" s="45"/>
      <c r="E74" s="45"/>
      <c r="F74" s="45"/>
      <c r="G74" s="45"/>
      <c r="H74" s="1"/>
      <c r="I74" s="1"/>
    </row>
    <row r="75" spans="2:9" ht="25.5" x14ac:dyDescent="0.25">
      <c r="B75" s="50" t="s">
        <v>87</v>
      </c>
      <c r="C75" s="59">
        <v>1</v>
      </c>
      <c r="D75" s="59">
        <v>1</v>
      </c>
      <c r="E75" s="59">
        <v>1</v>
      </c>
      <c r="F75" s="59">
        <v>1</v>
      </c>
      <c r="G75" s="59">
        <v>1</v>
      </c>
      <c r="H75" s="1"/>
      <c r="I75" s="1"/>
    </row>
    <row r="76" spans="2:9" ht="28.5" customHeight="1" x14ac:dyDescent="0.25">
      <c r="B76" s="89" t="s">
        <v>88</v>
      </c>
      <c r="C76" s="90"/>
      <c r="D76" s="91" t="s">
        <v>89</v>
      </c>
      <c r="E76" s="92"/>
      <c r="F76" s="92"/>
      <c r="G76" s="93"/>
      <c r="H76" s="1"/>
      <c r="I76" s="1"/>
    </row>
    <row r="77" spans="2:9" x14ac:dyDescent="0.25">
      <c r="B77" s="45" t="s">
        <v>8</v>
      </c>
      <c r="C77" s="54"/>
      <c r="D77" s="54"/>
      <c r="E77" s="54"/>
      <c r="F77" s="54"/>
      <c r="G77" s="54"/>
      <c r="H77" s="1"/>
      <c r="I77" s="1"/>
    </row>
    <row r="78" spans="2:9" x14ac:dyDescent="0.25">
      <c r="B78" s="45" t="s">
        <v>37</v>
      </c>
      <c r="C78" s="54">
        <f>'Приложение 2'!G104</f>
        <v>289390.8</v>
      </c>
      <c r="D78" s="54">
        <f>'Приложение 2'!H104</f>
        <v>303860.40000000002</v>
      </c>
      <c r="E78" s="54">
        <f>'Приложение 2'!I104</f>
        <v>334246.44</v>
      </c>
      <c r="F78" s="54">
        <f>'Приложение 2'!J104</f>
        <v>367671.04399999999</v>
      </c>
      <c r="G78" s="54">
        <f>'Приложение 2'!K104</f>
        <v>404438.10440000001</v>
      </c>
      <c r="H78" s="1"/>
      <c r="I78" s="1"/>
    </row>
    <row r="79" spans="2:9" x14ac:dyDescent="0.25">
      <c r="B79" s="45" t="s">
        <v>10</v>
      </c>
      <c r="C79" s="47"/>
      <c r="D79" s="47"/>
      <c r="E79" s="47"/>
      <c r="F79" s="47"/>
      <c r="G79" s="47"/>
      <c r="H79" s="1"/>
      <c r="I79" s="1"/>
    </row>
    <row r="80" spans="2:9" x14ac:dyDescent="0.25">
      <c r="B80" s="48" t="s">
        <v>90</v>
      </c>
      <c r="C80" s="49">
        <f>C77+C78+C79</f>
        <v>289390.8</v>
      </c>
      <c r="D80" s="49">
        <f t="shared" ref="D80:G80" si="12">D77+D78+D79</f>
        <v>303860.40000000002</v>
      </c>
      <c r="E80" s="49">
        <f t="shared" si="12"/>
        <v>334246.44</v>
      </c>
      <c r="F80" s="49">
        <f t="shared" si="12"/>
        <v>367671.04399999999</v>
      </c>
      <c r="G80" s="49">
        <f t="shared" si="12"/>
        <v>404438.10440000001</v>
      </c>
      <c r="H80" s="70"/>
      <c r="I80" s="1"/>
    </row>
    <row r="81" spans="2:9" x14ac:dyDescent="0.25">
      <c r="B81" s="44" t="s">
        <v>11</v>
      </c>
      <c r="C81" s="45"/>
      <c r="D81" s="45"/>
      <c r="E81" s="45"/>
      <c r="F81" s="45"/>
      <c r="G81" s="45"/>
      <c r="H81" s="1"/>
      <c r="I81" s="1"/>
    </row>
    <row r="82" spans="2:9" ht="25.5" x14ac:dyDescent="0.25">
      <c r="B82" s="50" t="s">
        <v>87</v>
      </c>
      <c r="C82" s="59">
        <v>0.95</v>
      </c>
      <c r="D82" s="59">
        <v>0.95</v>
      </c>
      <c r="E82" s="59">
        <v>0.95</v>
      </c>
      <c r="F82" s="59">
        <v>0.95</v>
      </c>
      <c r="G82" s="59">
        <v>0.95</v>
      </c>
      <c r="H82" s="1"/>
      <c r="I82" s="1"/>
    </row>
    <row r="83" spans="2:9" ht="54.75" customHeight="1" x14ac:dyDescent="0.25">
      <c r="B83" s="89" t="s">
        <v>128</v>
      </c>
      <c r="C83" s="90"/>
      <c r="D83" s="91" t="s">
        <v>92</v>
      </c>
      <c r="E83" s="92"/>
      <c r="F83" s="92"/>
      <c r="G83" s="93"/>
      <c r="H83" s="1"/>
      <c r="I83" s="1"/>
    </row>
    <row r="84" spans="2:9" x14ac:dyDescent="0.25">
      <c r="B84" s="45" t="s">
        <v>8</v>
      </c>
      <c r="C84" s="54">
        <f>'Приложение 2'!G111</f>
        <v>131876.5</v>
      </c>
      <c r="D84" s="54">
        <f>'Приложение 2'!H111</f>
        <v>0</v>
      </c>
      <c r="E84" s="54">
        <f>'Приложение 2'!I111</f>
        <v>0</v>
      </c>
      <c r="F84" s="54">
        <f>'Приложение 2'!J111</f>
        <v>0</v>
      </c>
      <c r="G84" s="54">
        <f>'Приложение 2'!K111</f>
        <v>0</v>
      </c>
      <c r="H84" s="1"/>
      <c r="I84" s="1"/>
    </row>
    <row r="85" spans="2:9" x14ac:dyDescent="0.25">
      <c r="B85" s="45" t="s">
        <v>37</v>
      </c>
      <c r="C85" s="54"/>
      <c r="D85" s="54"/>
      <c r="E85" s="54"/>
      <c r="F85" s="54"/>
      <c r="G85" s="54"/>
      <c r="H85" s="1"/>
      <c r="I85" s="1"/>
    </row>
    <row r="86" spans="2:9" x14ac:dyDescent="0.25">
      <c r="B86" s="45" t="s">
        <v>10</v>
      </c>
      <c r="C86" s="47"/>
      <c r="D86" s="47"/>
      <c r="E86" s="47"/>
      <c r="F86" s="47"/>
      <c r="G86" s="47"/>
      <c r="H86" s="1"/>
      <c r="I86" s="1"/>
    </row>
    <row r="87" spans="2:9" x14ac:dyDescent="0.25">
      <c r="B87" s="48" t="s">
        <v>94</v>
      </c>
      <c r="C87" s="49">
        <f>C84+C85+C86</f>
        <v>131876.5</v>
      </c>
      <c r="D87" s="49">
        <f t="shared" ref="D87:G87" si="13">D84+D85+D86</f>
        <v>0</v>
      </c>
      <c r="E87" s="49">
        <f t="shared" si="13"/>
        <v>0</v>
      </c>
      <c r="F87" s="49">
        <f t="shared" si="13"/>
        <v>0</v>
      </c>
      <c r="G87" s="49">
        <f t="shared" si="13"/>
        <v>0</v>
      </c>
      <c r="H87" s="1"/>
      <c r="I87" s="1"/>
    </row>
    <row r="88" spans="2:9" x14ac:dyDescent="0.25">
      <c r="B88" s="44" t="s">
        <v>11</v>
      </c>
      <c r="C88" s="45"/>
      <c r="D88" s="45"/>
      <c r="E88" s="45"/>
      <c r="F88" s="45"/>
      <c r="G88" s="45"/>
      <c r="H88" s="1"/>
      <c r="I88" s="1"/>
    </row>
    <row r="89" spans="2:9" ht="38.25" x14ac:dyDescent="0.25">
      <c r="B89" s="50" t="s">
        <v>93</v>
      </c>
      <c r="C89" s="59">
        <v>1</v>
      </c>
      <c r="D89" s="59">
        <v>1</v>
      </c>
      <c r="E89" s="59">
        <v>1</v>
      </c>
      <c r="F89" s="59">
        <v>1</v>
      </c>
      <c r="G89" s="59">
        <v>1</v>
      </c>
      <c r="H89" s="1"/>
      <c r="I89" s="1"/>
    </row>
    <row r="90" spans="2:9" ht="32.25" customHeight="1" x14ac:dyDescent="0.25">
      <c r="B90" s="89" t="s">
        <v>95</v>
      </c>
      <c r="C90" s="90"/>
      <c r="D90" s="91" t="s">
        <v>96</v>
      </c>
      <c r="E90" s="92"/>
      <c r="F90" s="92"/>
      <c r="G90" s="93"/>
      <c r="H90" s="1"/>
      <c r="I90" s="1"/>
    </row>
    <row r="91" spans="2:9" x14ac:dyDescent="0.25">
      <c r="B91" s="45" t="s">
        <v>8</v>
      </c>
      <c r="C91" s="54">
        <f>'Приложение 2'!G119</f>
        <v>0</v>
      </c>
      <c r="D91" s="54">
        <f>'Приложение 2'!H119</f>
        <v>0</v>
      </c>
      <c r="E91" s="54">
        <f>'Приложение 2'!I119</f>
        <v>0</v>
      </c>
      <c r="F91" s="54">
        <f>'Приложение 2'!J119</f>
        <v>0</v>
      </c>
      <c r="G91" s="54">
        <f>'Приложение 2'!K119</f>
        <v>0</v>
      </c>
      <c r="H91" s="1"/>
      <c r="I91" s="1"/>
    </row>
    <row r="92" spans="2:9" x14ac:dyDescent="0.25">
      <c r="B92" s="45" t="s">
        <v>37</v>
      </c>
      <c r="C92" s="54"/>
      <c r="D92" s="54"/>
      <c r="E92" s="54"/>
      <c r="F92" s="54"/>
      <c r="G92" s="54"/>
      <c r="H92" s="1"/>
      <c r="I92" s="1"/>
    </row>
    <row r="93" spans="2:9" x14ac:dyDescent="0.25">
      <c r="B93" s="45" t="s">
        <v>10</v>
      </c>
      <c r="C93" s="47"/>
      <c r="D93" s="47"/>
      <c r="E93" s="47"/>
      <c r="F93" s="47"/>
      <c r="G93" s="47"/>
      <c r="H93" s="1"/>
      <c r="I93" s="1"/>
    </row>
    <row r="94" spans="2:9" x14ac:dyDescent="0.25">
      <c r="B94" s="48" t="s">
        <v>97</v>
      </c>
      <c r="C94" s="49">
        <f>C91+C92+C93</f>
        <v>0</v>
      </c>
      <c r="D94" s="49">
        <f t="shared" ref="D94:G94" si="14">D91+D92+D93</f>
        <v>0</v>
      </c>
      <c r="E94" s="49">
        <f t="shared" si="14"/>
        <v>0</v>
      </c>
      <c r="F94" s="49">
        <f t="shared" si="14"/>
        <v>0</v>
      </c>
      <c r="G94" s="49">
        <f t="shared" si="14"/>
        <v>0</v>
      </c>
      <c r="H94" s="1"/>
      <c r="I94" s="1"/>
    </row>
    <row r="95" spans="2:9" x14ac:dyDescent="0.25">
      <c r="B95" s="44" t="s">
        <v>11</v>
      </c>
      <c r="C95" s="45"/>
      <c r="D95" s="45"/>
      <c r="E95" s="45"/>
      <c r="F95" s="45"/>
      <c r="G95" s="45"/>
      <c r="H95" s="1"/>
      <c r="I95" s="1"/>
    </row>
    <row r="96" spans="2:9" x14ac:dyDescent="0.25">
      <c r="B96" s="50" t="s">
        <v>98</v>
      </c>
      <c r="C96" s="59">
        <v>1</v>
      </c>
      <c r="D96" s="59"/>
      <c r="E96" s="59"/>
      <c r="F96" s="59"/>
      <c r="G96" s="59"/>
      <c r="H96" s="1"/>
      <c r="I96" s="1"/>
    </row>
    <row r="97" spans="2:9" ht="37.5" customHeight="1" x14ac:dyDescent="0.25">
      <c r="B97" s="89" t="s">
        <v>99</v>
      </c>
      <c r="C97" s="90"/>
      <c r="D97" s="91" t="s">
        <v>100</v>
      </c>
      <c r="E97" s="92"/>
      <c r="F97" s="92"/>
      <c r="G97" s="93"/>
      <c r="H97" s="1"/>
      <c r="I97" s="1"/>
    </row>
    <row r="98" spans="2:9" x14ac:dyDescent="0.25">
      <c r="B98" s="45" t="s">
        <v>8</v>
      </c>
      <c r="C98" s="54">
        <f>'Приложение 2'!G127+'Приложение 2'!G130</f>
        <v>11085.1</v>
      </c>
      <c r="D98" s="54">
        <f>'Приложение 2'!H127+'Приложение 2'!H130</f>
        <v>11196.8</v>
      </c>
      <c r="E98" s="54">
        <f>'Приложение 2'!I127+'Приложение 2'!I130</f>
        <v>12316.48</v>
      </c>
      <c r="F98" s="54">
        <f>'Приложение 2'!J127+'Приложение 2'!J130</f>
        <v>13548.148000000001</v>
      </c>
      <c r="G98" s="54">
        <f>'Приложение 2'!K127+'Приложение 2'!K130</f>
        <v>14902.9148</v>
      </c>
      <c r="H98" s="1"/>
      <c r="I98" s="1"/>
    </row>
    <row r="99" spans="2:9" x14ac:dyDescent="0.25">
      <c r="B99" s="45" t="s">
        <v>37</v>
      </c>
      <c r="C99" s="54"/>
      <c r="D99" s="54"/>
      <c r="E99" s="54"/>
      <c r="F99" s="54"/>
      <c r="G99" s="54"/>
      <c r="H99" s="1"/>
      <c r="I99" s="1"/>
    </row>
    <row r="100" spans="2:9" x14ac:dyDescent="0.25">
      <c r="B100" s="45" t="s">
        <v>10</v>
      </c>
      <c r="C100" s="47"/>
      <c r="D100" s="47"/>
      <c r="E100" s="47"/>
      <c r="F100" s="47"/>
      <c r="G100" s="47"/>
      <c r="H100" s="1"/>
      <c r="I100" s="1"/>
    </row>
    <row r="101" spans="2:9" x14ac:dyDescent="0.25">
      <c r="B101" s="48" t="s">
        <v>101</v>
      </c>
      <c r="C101" s="49">
        <f>C98+C99+C100</f>
        <v>11085.1</v>
      </c>
      <c r="D101" s="49">
        <f t="shared" ref="D101:G101" si="15">D98+D99+D100</f>
        <v>11196.8</v>
      </c>
      <c r="E101" s="49">
        <f t="shared" si="15"/>
        <v>12316.48</v>
      </c>
      <c r="F101" s="49">
        <f t="shared" si="15"/>
        <v>13548.148000000001</v>
      </c>
      <c r="G101" s="49">
        <f t="shared" si="15"/>
        <v>14902.9148</v>
      </c>
      <c r="H101" s="70"/>
      <c r="I101" s="1"/>
    </row>
    <row r="102" spans="2:9" x14ac:dyDescent="0.25">
      <c r="B102" s="44" t="s">
        <v>11</v>
      </c>
      <c r="C102" s="45"/>
      <c r="D102" s="45"/>
      <c r="E102" s="45"/>
      <c r="F102" s="45"/>
      <c r="G102" s="45"/>
      <c r="H102" s="1"/>
      <c r="I102" s="1"/>
    </row>
    <row r="103" spans="2:9" ht="38.25" x14ac:dyDescent="0.25">
      <c r="B103" s="50" t="s">
        <v>102</v>
      </c>
      <c r="C103" s="60">
        <v>714</v>
      </c>
      <c r="D103" s="60">
        <v>714</v>
      </c>
      <c r="E103" s="60">
        <v>714</v>
      </c>
      <c r="F103" s="60">
        <v>714</v>
      </c>
      <c r="G103" s="60">
        <v>714</v>
      </c>
      <c r="H103" s="1"/>
      <c r="I103" s="1"/>
    </row>
    <row r="104" spans="2:9" x14ac:dyDescent="0.25">
      <c r="B104" s="42"/>
      <c r="C104" s="42"/>
      <c r="D104" s="42"/>
      <c r="E104" s="42"/>
      <c r="F104" s="42"/>
      <c r="G104" s="42"/>
    </row>
    <row r="105" spans="2:9" x14ac:dyDescent="0.25">
      <c r="B105" s="42"/>
      <c r="C105" s="42"/>
      <c r="D105" s="42"/>
      <c r="E105" s="42"/>
      <c r="F105" s="42"/>
      <c r="G105" s="42"/>
    </row>
    <row r="106" spans="2:9" x14ac:dyDescent="0.25">
      <c r="B106" s="41" t="s">
        <v>192</v>
      </c>
      <c r="C106" s="41"/>
      <c r="D106" s="41"/>
      <c r="E106" s="41"/>
      <c r="F106" s="41"/>
      <c r="G106" s="41"/>
    </row>
    <row r="107" spans="2:9" x14ac:dyDescent="0.25">
      <c r="B107" s="41"/>
      <c r="C107" s="41"/>
      <c r="D107" s="41"/>
      <c r="E107" s="41"/>
      <c r="F107" s="41"/>
      <c r="G107" s="41"/>
    </row>
    <row r="108" spans="2:9" x14ac:dyDescent="0.25">
      <c r="B108" s="41" t="s">
        <v>238</v>
      </c>
      <c r="C108" s="42"/>
      <c r="D108" s="42"/>
      <c r="E108" s="42"/>
      <c r="F108" s="42"/>
      <c r="G108" s="42"/>
    </row>
    <row r="109" spans="2:9" x14ac:dyDescent="0.25">
      <c r="B109" s="42"/>
      <c r="C109" s="42"/>
      <c r="D109" s="42"/>
      <c r="E109" s="42"/>
      <c r="F109" s="42"/>
      <c r="G109" s="42"/>
    </row>
    <row r="110" spans="2:9" hidden="1" x14ac:dyDescent="0.25">
      <c r="B110" s="41" t="s">
        <v>193</v>
      </c>
      <c r="C110" s="42"/>
      <c r="D110" s="42"/>
      <c r="E110" s="42"/>
      <c r="F110" s="42"/>
      <c r="G110" s="42"/>
    </row>
    <row r="111" spans="2:9" hidden="1" x14ac:dyDescent="0.25">
      <c r="B111" s="41" t="s">
        <v>224</v>
      </c>
      <c r="C111" s="42" t="s">
        <v>194</v>
      </c>
      <c r="D111" s="42"/>
      <c r="E111" s="42"/>
      <c r="F111" s="42"/>
      <c r="G111" s="42"/>
    </row>
    <row r="112" spans="2:9" x14ac:dyDescent="0.25">
      <c r="B112" s="42"/>
      <c r="C112" s="42"/>
      <c r="D112" s="42"/>
      <c r="E112" s="42"/>
      <c r="F112" s="42"/>
      <c r="G112" s="42"/>
    </row>
    <row r="113" spans="2:7" x14ac:dyDescent="0.25">
      <c r="B113" s="42"/>
      <c r="C113" s="42"/>
      <c r="D113" s="42"/>
      <c r="E113" s="42"/>
      <c r="F113" s="42"/>
      <c r="G113" s="42"/>
    </row>
    <row r="114" spans="2:7" x14ac:dyDescent="0.25">
      <c r="B114" s="88"/>
      <c r="C114" s="88"/>
      <c r="D114" s="88"/>
      <c r="E114" s="88"/>
      <c r="F114" s="88"/>
      <c r="G114" s="88"/>
    </row>
    <row r="115" spans="2:7" x14ac:dyDescent="0.25">
      <c r="B115" s="88"/>
      <c r="C115" s="88"/>
      <c r="D115" s="88"/>
      <c r="E115" s="88"/>
      <c r="F115" s="88"/>
      <c r="G115" s="88"/>
    </row>
  </sheetData>
  <mergeCells count="32">
    <mergeCell ref="B90:C90"/>
    <mergeCell ref="D90:G90"/>
    <mergeCell ref="B97:C97"/>
    <mergeCell ref="D97:G97"/>
    <mergeCell ref="D69:G69"/>
    <mergeCell ref="B76:C76"/>
    <mergeCell ref="D76:G76"/>
    <mergeCell ref="B83:C83"/>
    <mergeCell ref="D83:G83"/>
    <mergeCell ref="B69:C69"/>
    <mergeCell ref="B7:G7"/>
    <mergeCell ref="B8:G8"/>
    <mergeCell ref="B10:C10"/>
    <mergeCell ref="D10:G10"/>
    <mergeCell ref="B22:C22"/>
    <mergeCell ref="D22:G22"/>
    <mergeCell ref="I17:O19"/>
    <mergeCell ref="B114:G115"/>
    <mergeCell ref="B29:C29"/>
    <mergeCell ref="D29:G29"/>
    <mergeCell ref="B11:C11"/>
    <mergeCell ref="D11:G11"/>
    <mergeCell ref="B12:C12"/>
    <mergeCell ref="D12:G12"/>
    <mergeCell ref="B38:C38"/>
    <mergeCell ref="D38:G38"/>
    <mergeCell ref="B48:C48"/>
    <mergeCell ref="D48:G48"/>
    <mergeCell ref="B55:C55"/>
    <mergeCell ref="D55:G55"/>
    <mergeCell ref="B62:C62"/>
    <mergeCell ref="D62:G62"/>
  </mergeCells>
  <pageMargins left="0.39370078740157483" right="0" top="0" bottom="0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</sheetPr>
  <dimension ref="B1:I112"/>
  <sheetViews>
    <sheetView zoomScale="112" zoomScaleNormal="112" workbookViewId="0">
      <selection activeCell="I69" sqref="I69"/>
    </sheetView>
  </sheetViews>
  <sheetFormatPr defaultRowHeight="15" x14ac:dyDescent="0.25"/>
  <cols>
    <col min="2" max="2" width="46.42578125" customWidth="1"/>
    <col min="3" max="3" width="17" customWidth="1"/>
    <col min="4" max="7" width="21.140625" customWidth="1"/>
  </cols>
  <sheetData>
    <row r="1" spans="2:9" x14ac:dyDescent="0.25">
      <c r="B1" s="1"/>
      <c r="C1" s="1"/>
      <c r="F1" s="1" t="s">
        <v>0</v>
      </c>
      <c r="H1" s="1"/>
      <c r="I1" s="1"/>
    </row>
    <row r="2" spans="2:9" x14ac:dyDescent="0.25">
      <c r="B2" s="1"/>
      <c r="C2" s="1"/>
      <c r="F2" s="1" t="s">
        <v>1</v>
      </c>
      <c r="H2" s="1"/>
      <c r="I2" s="1"/>
    </row>
    <row r="3" spans="2:9" x14ac:dyDescent="0.25">
      <c r="B3" s="1"/>
      <c r="C3" s="1"/>
      <c r="F3" s="1" t="s">
        <v>2</v>
      </c>
      <c r="H3" s="1"/>
      <c r="I3" s="1"/>
    </row>
    <row r="4" spans="2:9" x14ac:dyDescent="0.25">
      <c r="B4" s="1"/>
      <c r="C4" s="1"/>
      <c r="F4" s="1" t="s">
        <v>3</v>
      </c>
      <c r="H4" s="1"/>
      <c r="I4" s="1"/>
    </row>
    <row r="5" spans="2:9" x14ac:dyDescent="0.25">
      <c r="B5" s="1"/>
      <c r="C5" s="1"/>
      <c r="F5" s="1" t="s">
        <v>4</v>
      </c>
      <c r="H5" s="1"/>
      <c r="I5" s="1"/>
    </row>
    <row r="6" spans="2:9" x14ac:dyDescent="0.25">
      <c r="B6" s="1"/>
      <c r="C6" s="1"/>
      <c r="D6" s="1"/>
      <c r="E6" s="1"/>
      <c r="F6" s="1"/>
      <c r="G6" s="1"/>
      <c r="H6" s="1"/>
      <c r="I6" s="1"/>
    </row>
    <row r="7" spans="2:9" ht="18.75" x14ac:dyDescent="0.3">
      <c r="B7" s="79" t="s">
        <v>241</v>
      </c>
      <c r="C7" s="79"/>
      <c r="D7" s="79"/>
      <c r="E7" s="79"/>
      <c r="F7" s="79"/>
      <c r="G7" s="79"/>
      <c r="H7" s="35"/>
      <c r="I7" s="35"/>
    </row>
    <row r="8" spans="2:9" ht="46.5" customHeight="1" x14ac:dyDescent="0.25">
      <c r="B8" s="108" t="s">
        <v>196</v>
      </c>
      <c r="C8" s="108"/>
      <c r="D8" s="108"/>
      <c r="E8" s="108"/>
      <c r="F8" s="108"/>
      <c r="G8" s="108"/>
      <c r="H8" s="34"/>
      <c r="I8" s="34"/>
    </row>
    <row r="9" spans="2:9" x14ac:dyDescent="0.25">
      <c r="B9" s="2"/>
      <c r="C9" s="1"/>
      <c r="D9" s="1"/>
      <c r="E9" s="1"/>
      <c r="F9" s="1"/>
      <c r="G9" s="1"/>
      <c r="H9" s="1"/>
      <c r="I9" s="1"/>
    </row>
    <row r="10" spans="2:9" ht="38.25" customHeight="1" x14ac:dyDescent="0.25">
      <c r="B10" s="74" t="s">
        <v>6</v>
      </c>
      <c r="C10" s="75"/>
      <c r="D10" s="83" t="s">
        <v>38</v>
      </c>
      <c r="E10" s="84"/>
      <c r="F10" s="84"/>
      <c r="G10" s="85"/>
      <c r="H10" s="1"/>
      <c r="I10" s="1"/>
    </row>
    <row r="11" spans="2:9" ht="63" customHeight="1" x14ac:dyDescent="0.25">
      <c r="B11" s="81" t="s">
        <v>5</v>
      </c>
      <c r="C11" s="82"/>
      <c r="D11" s="81" t="s">
        <v>103</v>
      </c>
      <c r="E11" s="86"/>
      <c r="F11" s="86"/>
      <c r="G11" s="82"/>
      <c r="H11" s="1"/>
      <c r="I11" s="1"/>
    </row>
    <row r="12" spans="2:9" x14ac:dyDescent="0.25">
      <c r="B12" s="105"/>
      <c r="C12" s="106"/>
      <c r="D12" s="105"/>
      <c r="E12" s="107"/>
      <c r="F12" s="107"/>
      <c r="G12" s="106"/>
      <c r="H12" s="1"/>
      <c r="I12" s="1"/>
    </row>
    <row r="13" spans="2:9" ht="31.5" x14ac:dyDescent="0.25">
      <c r="B13" s="4" t="s">
        <v>7</v>
      </c>
      <c r="C13" s="4" t="s">
        <v>222</v>
      </c>
      <c r="D13" s="4" t="s">
        <v>220</v>
      </c>
      <c r="E13" s="4" t="s">
        <v>190</v>
      </c>
      <c r="F13" s="4" t="s">
        <v>191</v>
      </c>
      <c r="G13" s="4" t="s">
        <v>221</v>
      </c>
      <c r="H13" s="1"/>
      <c r="I13" s="1"/>
    </row>
    <row r="14" spans="2:9" ht="15.75" x14ac:dyDescent="0.25">
      <c r="B14" s="5" t="s">
        <v>8</v>
      </c>
      <c r="C14" s="12">
        <f>C22+C32+C39+C46+C53+C60+C67+C74+C81+C88+C95</f>
        <v>14574475.800000001</v>
      </c>
      <c r="D14" s="12">
        <f>D22+D32+D39+D46+D53+D60+D67+D74+D88+D95+D81</f>
        <v>15162043.000000002</v>
      </c>
      <c r="E14" s="12">
        <f t="shared" ref="E14:G14" si="0">E22+E32+E39+E46+E53+E60+E67+E74+E88+E95+E81</f>
        <v>15560673</v>
      </c>
      <c r="F14" s="12">
        <f t="shared" si="0"/>
        <v>17116780.300000001</v>
      </c>
      <c r="G14" s="12">
        <f t="shared" si="0"/>
        <v>18828458.329999998</v>
      </c>
      <c r="H14" s="1"/>
      <c r="I14" s="1"/>
    </row>
    <row r="15" spans="2:9" ht="15.75" x14ac:dyDescent="0.25">
      <c r="B15" s="5" t="s">
        <v>37</v>
      </c>
      <c r="C15" s="12">
        <f>C23+C33+C40+C47+C54+C61+C68+C75+C82+C89+C96</f>
        <v>1126520.8999999999</v>
      </c>
      <c r="D15" s="13">
        <f>D23+D33+D40+D47+D54+D61+D68+D75+D82+D89+D96</f>
        <v>1182847</v>
      </c>
      <c r="E15" s="13">
        <f t="shared" ref="E15:G15" si="1">E23+E33+E40+E47+E54+E61+E68+E75+E82+E89+E96</f>
        <v>1241989.2999999998</v>
      </c>
      <c r="F15" s="13">
        <f t="shared" si="1"/>
        <v>1366188.23</v>
      </c>
      <c r="G15" s="13">
        <f t="shared" si="1"/>
        <v>1502807.023</v>
      </c>
      <c r="H15" s="1"/>
      <c r="I15" s="1"/>
    </row>
    <row r="16" spans="2:9" ht="15.75" x14ac:dyDescent="0.25">
      <c r="B16" s="5" t="s">
        <v>10</v>
      </c>
      <c r="C16" s="13"/>
      <c r="D16" s="13"/>
      <c r="E16" s="13"/>
      <c r="F16" s="13"/>
      <c r="G16" s="13"/>
      <c r="H16" s="1"/>
      <c r="I16" s="1"/>
    </row>
    <row r="17" spans="2:9" ht="15.75" x14ac:dyDescent="0.25">
      <c r="B17" s="16" t="s">
        <v>104</v>
      </c>
      <c r="C17" s="17">
        <f>C14+C15+C16</f>
        <v>15700996.700000001</v>
      </c>
      <c r="D17" s="17">
        <f t="shared" ref="D17:G17" si="2">D14+D15+D16</f>
        <v>16344890.000000002</v>
      </c>
      <c r="E17" s="17">
        <f t="shared" si="2"/>
        <v>16802662.300000001</v>
      </c>
      <c r="F17" s="17">
        <f t="shared" si="2"/>
        <v>18482968.530000001</v>
      </c>
      <c r="G17" s="17">
        <f t="shared" si="2"/>
        <v>20331265.353</v>
      </c>
      <c r="H17" s="70"/>
      <c r="I17" s="1"/>
    </row>
    <row r="18" spans="2:9" ht="15.75" x14ac:dyDescent="0.25">
      <c r="B18" s="4" t="s">
        <v>11</v>
      </c>
      <c r="C18" s="5"/>
      <c r="D18" s="5"/>
      <c r="E18" s="5"/>
      <c r="F18" s="5"/>
      <c r="G18" s="5"/>
      <c r="H18" s="1"/>
      <c r="I18" s="1"/>
    </row>
    <row r="19" spans="2:9" ht="63" x14ac:dyDescent="0.25">
      <c r="B19" s="9" t="s">
        <v>234</v>
      </c>
      <c r="C19" s="40">
        <v>0.7</v>
      </c>
      <c r="D19" s="40">
        <v>0.75</v>
      </c>
      <c r="E19" s="40">
        <v>0.75</v>
      </c>
      <c r="F19" s="40">
        <v>0.75</v>
      </c>
      <c r="G19" s="40">
        <v>0.75</v>
      </c>
      <c r="H19" s="1"/>
      <c r="I19" s="1"/>
    </row>
    <row r="20" spans="2:9" ht="31.5" x14ac:dyDescent="0.25">
      <c r="B20" s="9" t="s">
        <v>233</v>
      </c>
      <c r="C20" s="40">
        <v>0.85</v>
      </c>
      <c r="D20" s="40">
        <v>0.85</v>
      </c>
      <c r="E20" s="40">
        <v>0.85</v>
      </c>
      <c r="F20" s="40">
        <v>0.85</v>
      </c>
      <c r="G20" s="40">
        <v>0.85</v>
      </c>
      <c r="H20" s="1"/>
      <c r="I20" s="1"/>
    </row>
    <row r="21" spans="2:9" ht="33.75" customHeight="1" x14ac:dyDescent="0.25">
      <c r="B21" s="74" t="s">
        <v>63</v>
      </c>
      <c r="C21" s="75"/>
      <c r="D21" s="83" t="s">
        <v>105</v>
      </c>
      <c r="E21" s="84"/>
      <c r="F21" s="84"/>
      <c r="G21" s="85"/>
      <c r="H21" s="1"/>
      <c r="I21" s="1"/>
    </row>
    <row r="22" spans="2:9" ht="15.75" x14ac:dyDescent="0.25">
      <c r="B22" s="5" t="s">
        <v>8</v>
      </c>
      <c r="C22" s="12">
        <f>'Приложение 2'!F143+'Приложение 2'!F146</f>
        <v>12478828.4</v>
      </c>
      <c r="D22" s="12">
        <f>'Приложение 2'!G143+'Приложение 2'!G146</f>
        <v>12910140.5</v>
      </c>
      <c r="E22" s="12">
        <f>'Приложение 2'!H143+'Приложение 2'!H146</f>
        <v>13297893.199999999</v>
      </c>
      <c r="F22" s="12">
        <f>'Приложение 2'!I143+'Приложение 2'!I146</f>
        <v>14627682.52</v>
      </c>
      <c r="G22" s="12">
        <f>'Приложение 2'!J143+'Приложение 2'!J146</f>
        <v>16090450.752</v>
      </c>
      <c r="H22" s="1"/>
      <c r="I22" s="1"/>
    </row>
    <row r="23" spans="2:9" ht="15.75" x14ac:dyDescent="0.25">
      <c r="B23" s="5" t="s">
        <v>37</v>
      </c>
      <c r="C23" s="12"/>
      <c r="D23" s="13"/>
      <c r="E23" s="13"/>
      <c r="F23" s="13"/>
      <c r="G23" s="13"/>
      <c r="H23" s="1"/>
      <c r="I23" s="1"/>
    </row>
    <row r="24" spans="2:9" ht="15.75" x14ac:dyDescent="0.25">
      <c r="B24" s="5" t="s">
        <v>10</v>
      </c>
      <c r="C24" s="13"/>
      <c r="D24" s="13"/>
      <c r="E24" s="13"/>
      <c r="F24" s="13"/>
      <c r="G24" s="13"/>
      <c r="H24" s="1"/>
      <c r="I24" s="1"/>
    </row>
    <row r="25" spans="2:9" ht="15.75" x14ac:dyDescent="0.25">
      <c r="B25" s="16" t="s">
        <v>56</v>
      </c>
      <c r="C25" s="17">
        <f>C22+C23+C24</f>
        <v>12478828.4</v>
      </c>
      <c r="D25" s="17">
        <f t="shared" ref="D25:G25" si="3">D22+D23+D24</f>
        <v>12910140.5</v>
      </c>
      <c r="E25" s="17">
        <f t="shared" si="3"/>
        <v>13297893.199999999</v>
      </c>
      <c r="F25" s="17">
        <f t="shared" si="3"/>
        <v>14627682.52</v>
      </c>
      <c r="G25" s="17">
        <f t="shared" si="3"/>
        <v>16090450.752</v>
      </c>
      <c r="H25" s="70"/>
      <c r="I25" s="1"/>
    </row>
    <row r="26" spans="2:9" ht="15.75" x14ac:dyDescent="0.25">
      <c r="B26" s="4" t="s">
        <v>11</v>
      </c>
      <c r="C26" s="5"/>
      <c r="D26" s="5"/>
      <c r="E26" s="5"/>
      <c r="F26" s="5"/>
      <c r="G26" s="5"/>
      <c r="H26" s="1"/>
      <c r="I26" s="1"/>
    </row>
    <row r="27" spans="2:9" ht="31.5" x14ac:dyDescent="0.25">
      <c r="B27" s="19" t="s">
        <v>106</v>
      </c>
      <c r="C27" s="20">
        <v>0.45</v>
      </c>
      <c r="D27" s="20">
        <v>0.45</v>
      </c>
      <c r="E27" s="20">
        <v>0.45</v>
      </c>
      <c r="F27" s="20">
        <v>0.45</v>
      </c>
      <c r="G27" s="20">
        <v>0.45</v>
      </c>
      <c r="H27" s="1"/>
      <c r="I27" s="1"/>
    </row>
    <row r="28" spans="2:9" ht="78.75" x14ac:dyDescent="0.25">
      <c r="B28" s="19" t="s">
        <v>107</v>
      </c>
      <c r="C28" s="20">
        <v>0.16</v>
      </c>
      <c r="D28" s="20">
        <v>0.18</v>
      </c>
      <c r="E28" s="20">
        <v>0.18</v>
      </c>
      <c r="F28" s="20">
        <v>0.18</v>
      </c>
      <c r="G28" s="20">
        <v>0.18</v>
      </c>
      <c r="H28" s="1"/>
      <c r="I28" s="1"/>
    </row>
    <row r="29" spans="2:9" ht="47.25" x14ac:dyDescent="0.25">
      <c r="B29" s="19" t="s">
        <v>108</v>
      </c>
      <c r="C29" s="20">
        <v>1</v>
      </c>
      <c r="D29" s="20">
        <v>1</v>
      </c>
      <c r="E29" s="20">
        <v>1</v>
      </c>
      <c r="F29" s="20">
        <v>1</v>
      </c>
      <c r="G29" s="20">
        <v>1</v>
      </c>
      <c r="H29" s="1"/>
      <c r="I29" s="1"/>
    </row>
    <row r="30" spans="2:9" ht="47.25" x14ac:dyDescent="0.25">
      <c r="B30" s="19" t="s">
        <v>109</v>
      </c>
      <c r="C30" s="20">
        <v>0.28999999999999998</v>
      </c>
      <c r="D30" s="20">
        <v>0.28999999999999998</v>
      </c>
      <c r="E30" s="20">
        <v>0.28999999999999998</v>
      </c>
      <c r="F30" s="20">
        <v>0.28999999999999998</v>
      </c>
      <c r="G30" s="20">
        <v>0.28999999999999998</v>
      </c>
      <c r="H30" s="1"/>
      <c r="I30" s="1"/>
    </row>
    <row r="31" spans="2:9" ht="63.75" customHeight="1" x14ac:dyDescent="0.25">
      <c r="B31" s="74" t="s">
        <v>66</v>
      </c>
      <c r="C31" s="75"/>
      <c r="D31" s="83" t="s">
        <v>110</v>
      </c>
      <c r="E31" s="84"/>
      <c r="F31" s="84"/>
      <c r="G31" s="85"/>
      <c r="H31" s="1"/>
      <c r="I31" s="1"/>
    </row>
    <row r="32" spans="2:9" ht="15.75" x14ac:dyDescent="0.25">
      <c r="B32" s="5" t="s">
        <v>8</v>
      </c>
      <c r="C32" s="12">
        <f>'Приложение 2'!F151+'Приложение 2'!F154</f>
        <v>1028395.9</v>
      </c>
      <c r="D32" s="12">
        <f>'Приложение 2'!G151+'Приложение 2'!G154</f>
        <v>1101219.8</v>
      </c>
      <c r="E32" s="12">
        <f>'Приложение 2'!H151+'Приложение 2'!H154</f>
        <v>1101929.3999999999</v>
      </c>
      <c r="F32" s="12">
        <f>'Приложение 2'!I151+'Приложение 2'!I154</f>
        <v>1212122.3399999999</v>
      </c>
      <c r="G32" s="12">
        <f>'Приложение 2'!J151+'Приложение 2'!J154</f>
        <v>1333334.534</v>
      </c>
      <c r="H32" s="1"/>
      <c r="I32" s="1"/>
    </row>
    <row r="33" spans="2:9" ht="15.75" x14ac:dyDescent="0.25">
      <c r="B33" s="5" t="s">
        <v>37</v>
      </c>
      <c r="C33" s="12"/>
      <c r="D33" s="13"/>
      <c r="E33" s="13"/>
      <c r="F33" s="13"/>
      <c r="G33" s="13"/>
      <c r="H33" s="1"/>
      <c r="I33" s="1"/>
    </row>
    <row r="34" spans="2:9" ht="15.75" x14ac:dyDescent="0.25">
      <c r="B34" s="5" t="s">
        <v>10</v>
      </c>
      <c r="C34" s="13"/>
      <c r="D34" s="13"/>
      <c r="E34" s="13"/>
      <c r="F34" s="13"/>
      <c r="G34" s="13"/>
      <c r="H34" s="1"/>
      <c r="I34" s="1"/>
    </row>
    <row r="35" spans="2:9" ht="15.75" x14ac:dyDescent="0.25">
      <c r="B35" s="16" t="s">
        <v>57</v>
      </c>
      <c r="C35" s="17">
        <f>C32+C33+C34</f>
        <v>1028395.9</v>
      </c>
      <c r="D35" s="17">
        <f t="shared" ref="D35:G35" si="4">D32+D33+D34</f>
        <v>1101219.8</v>
      </c>
      <c r="E35" s="17">
        <f t="shared" si="4"/>
        <v>1101929.3999999999</v>
      </c>
      <c r="F35" s="17">
        <f t="shared" si="4"/>
        <v>1212122.3399999999</v>
      </c>
      <c r="G35" s="17">
        <f t="shared" si="4"/>
        <v>1333334.534</v>
      </c>
      <c r="H35" s="70"/>
      <c r="I35" s="1"/>
    </row>
    <row r="36" spans="2:9" ht="15.75" x14ac:dyDescent="0.25">
      <c r="B36" s="4" t="s">
        <v>11</v>
      </c>
      <c r="C36" s="5"/>
      <c r="D36" s="5"/>
      <c r="E36" s="5"/>
      <c r="F36" s="5"/>
      <c r="G36" s="5"/>
      <c r="H36" s="1"/>
      <c r="I36" s="1"/>
    </row>
    <row r="37" spans="2:9" ht="47.25" x14ac:dyDescent="0.25">
      <c r="B37" s="19" t="s">
        <v>111</v>
      </c>
      <c r="C37" s="20">
        <v>1</v>
      </c>
      <c r="D37" s="20">
        <v>1</v>
      </c>
      <c r="E37" s="20">
        <v>1</v>
      </c>
      <c r="F37" s="20">
        <v>1</v>
      </c>
      <c r="G37" s="20">
        <v>1</v>
      </c>
      <c r="H37" s="1"/>
      <c r="I37" s="1"/>
    </row>
    <row r="38" spans="2:9" ht="34.5" customHeight="1" x14ac:dyDescent="0.25">
      <c r="B38" s="74" t="s">
        <v>69</v>
      </c>
      <c r="C38" s="75"/>
      <c r="D38" s="83" t="s">
        <v>112</v>
      </c>
      <c r="E38" s="84"/>
      <c r="F38" s="84"/>
      <c r="G38" s="85"/>
      <c r="H38" s="1"/>
      <c r="I38" s="1"/>
    </row>
    <row r="39" spans="2:9" ht="15.75" x14ac:dyDescent="0.25">
      <c r="B39" s="5" t="s">
        <v>8</v>
      </c>
      <c r="C39" s="12">
        <f>'Приложение 2'!F159+'Приложение 2'!F162</f>
        <v>522714.6</v>
      </c>
      <c r="D39" s="12">
        <f>'Приложение 2'!G159+'Приложение 2'!G162</f>
        <v>547909.4</v>
      </c>
      <c r="E39" s="12">
        <f>'Приложение 2'!H159+'Приложение 2'!H162</f>
        <v>549366.80000000005</v>
      </c>
      <c r="F39" s="12">
        <f>'Приложение 2'!I159+'Приложение 2'!I162</f>
        <v>604303.4800000001</v>
      </c>
      <c r="G39" s="12">
        <f>'Приложение 2'!J159+'Приложение 2'!J162</f>
        <v>664733.848</v>
      </c>
      <c r="H39" s="1"/>
      <c r="I39" s="1"/>
    </row>
    <row r="40" spans="2:9" ht="15.75" x14ac:dyDescent="0.25">
      <c r="B40" s="5" t="s">
        <v>37</v>
      </c>
      <c r="C40" s="12"/>
      <c r="D40" s="13"/>
      <c r="E40" s="13"/>
      <c r="F40" s="13"/>
      <c r="G40" s="13"/>
      <c r="H40" s="1"/>
      <c r="I40" s="1"/>
    </row>
    <row r="41" spans="2:9" ht="15.75" x14ac:dyDescent="0.25">
      <c r="B41" s="5" t="s">
        <v>10</v>
      </c>
      <c r="C41" s="13"/>
      <c r="D41" s="13"/>
      <c r="E41" s="13"/>
      <c r="F41" s="13"/>
      <c r="G41" s="13"/>
      <c r="H41" s="1"/>
      <c r="I41" s="1"/>
    </row>
    <row r="42" spans="2:9" ht="15.75" x14ac:dyDescent="0.25">
      <c r="B42" s="16" t="s">
        <v>73</v>
      </c>
      <c r="C42" s="17">
        <f>C39+C40+C41</f>
        <v>522714.6</v>
      </c>
      <c r="D42" s="17">
        <f t="shared" ref="D42:G42" si="5">D39+D40+D41</f>
        <v>547909.4</v>
      </c>
      <c r="E42" s="17">
        <f t="shared" si="5"/>
        <v>549366.80000000005</v>
      </c>
      <c r="F42" s="17">
        <f t="shared" si="5"/>
        <v>604303.4800000001</v>
      </c>
      <c r="G42" s="17">
        <f t="shared" si="5"/>
        <v>664733.848</v>
      </c>
      <c r="H42" s="70"/>
      <c r="I42" s="1"/>
    </row>
    <row r="43" spans="2:9" ht="15.75" x14ac:dyDescent="0.25">
      <c r="B43" s="4" t="s">
        <v>11</v>
      </c>
      <c r="C43" s="5"/>
      <c r="D43" s="5"/>
      <c r="E43" s="5"/>
      <c r="F43" s="5"/>
      <c r="G43" s="5"/>
      <c r="H43" s="1"/>
      <c r="I43" s="1"/>
    </row>
    <row r="44" spans="2:9" ht="47.25" x14ac:dyDescent="0.25">
      <c r="B44" s="19" t="s">
        <v>111</v>
      </c>
      <c r="C44" s="20">
        <v>1.07</v>
      </c>
      <c r="D44" s="20">
        <v>1.07</v>
      </c>
      <c r="E44" s="20">
        <v>1.07</v>
      </c>
      <c r="F44" s="20">
        <v>1.07</v>
      </c>
      <c r="G44" s="20">
        <v>1.07</v>
      </c>
      <c r="H44" s="1"/>
      <c r="I44" s="1"/>
    </row>
    <row r="45" spans="2:9" ht="41.25" customHeight="1" x14ac:dyDescent="0.25">
      <c r="B45" s="74" t="s">
        <v>71</v>
      </c>
      <c r="C45" s="75"/>
      <c r="D45" s="83" t="s">
        <v>113</v>
      </c>
      <c r="E45" s="84"/>
      <c r="F45" s="84"/>
      <c r="G45" s="85"/>
      <c r="H45" s="1"/>
      <c r="I45" s="1"/>
    </row>
    <row r="46" spans="2:9" ht="15.75" x14ac:dyDescent="0.25">
      <c r="B46" s="5" t="s">
        <v>8</v>
      </c>
      <c r="C46" s="12">
        <f>'Приложение 2'!F167</f>
        <v>76000</v>
      </c>
      <c r="D46" s="12">
        <f>'Приложение 2'!G167</f>
        <v>76000</v>
      </c>
      <c r="E46" s="12">
        <f>'Приложение 2'!H167</f>
        <v>83600</v>
      </c>
      <c r="F46" s="12">
        <f>'Приложение 2'!I167</f>
        <v>92000</v>
      </c>
      <c r="G46" s="12">
        <f>'Приложение 2'!J167</f>
        <v>101200</v>
      </c>
      <c r="H46" s="1"/>
      <c r="I46" s="1"/>
    </row>
    <row r="47" spans="2:9" ht="15.75" x14ac:dyDescent="0.25">
      <c r="B47" s="5" t="s">
        <v>37</v>
      </c>
      <c r="C47" s="12"/>
      <c r="D47" s="13"/>
      <c r="E47" s="13"/>
      <c r="F47" s="13"/>
      <c r="G47" s="13"/>
      <c r="H47" s="1"/>
      <c r="I47" s="1"/>
    </row>
    <row r="48" spans="2:9" ht="15.75" x14ac:dyDescent="0.25">
      <c r="B48" s="5" t="s">
        <v>10</v>
      </c>
      <c r="C48" s="13"/>
      <c r="D48" s="13"/>
      <c r="E48" s="13"/>
      <c r="F48" s="13"/>
      <c r="G48" s="13"/>
      <c r="H48" s="1"/>
      <c r="I48" s="1"/>
    </row>
    <row r="49" spans="2:9" ht="15.75" x14ac:dyDescent="0.25">
      <c r="B49" s="16" t="s">
        <v>74</v>
      </c>
      <c r="C49" s="17">
        <f>C46+C47+C48</f>
        <v>76000</v>
      </c>
      <c r="D49" s="17">
        <f t="shared" ref="D49:G49" si="6">D46+D47+D48</f>
        <v>76000</v>
      </c>
      <c r="E49" s="17">
        <f t="shared" si="6"/>
        <v>83600</v>
      </c>
      <c r="F49" s="17">
        <f t="shared" si="6"/>
        <v>92000</v>
      </c>
      <c r="G49" s="17">
        <f t="shared" si="6"/>
        <v>101200</v>
      </c>
      <c r="H49" s="70"/>
      <c r="I49" s="1"/>
    </row>
    <row r="50" spans="2:9" ht="15.75" x14ac:dyDescent="0.25">
      <c r="B50" s="4" t="s">
        <v>11</v>
      </c>
      <c r="C50" s="5"/>
      <c r="D50" s="5"/>
      <c r="E50" s="5"/>
      <c r="F50" s="5"/>
      <c r="G50" s="5"/>
      <c r="H50" s="1"/>
      <c r="I50" s="1"/>
    </row>
    <row r="51" spans="2:9" ht="47.25" x14ac:dyDescent="0.25">
      <c r="B51" s="19" t="s">
        <v>111</v>
      </c>
      <c r="C51" s="20">
        <v>1</v>
      </c>
      <c r="D51" s="20">
        <v>1</v>
      </c>
      <c r="E51" s="20">
        <v>1</v>
      </c>
      <c r="F51" s="20">
        <v>1</v>
      </c>
      <c r="G51" s="20">
        <v>1</v>
      </c>
      <c r="H51" s="1"/>
      <c r="I51" s="1"/>
    </row>
    <row r="52" spans="2:9" ht="39.75" customHeight="1" x14ac:dyDescent="0.25">
      <c r="B52" s="74" t="s">
        <v>76</v>
      </c>
      <c r="C52" s="75"/>
      <c r="D52" s="83" t="s">
        <v>114</v>
      </c>
      <c r="E52" s="84"/>
      <c r="F52" s="84"/>
      <c r="G52" s="85"/>
      <c r="H52" s="1"/>
      <c r="I52" s="1"/>
    </row>
    <row r="53" spans="2:9" ht="15.75" x14ac:dyDescent="0.25">
      <c r="B53" s="5" t="s">
        <v>8</v>
      </c>
      <c r="C53" s="12">
        <f>'Приложение 2'!F175+'Приложение 2'!F178</f>
        <v>458536.9</v>
      </c>
      <c r="D53" s="12">
        <f>'Приложение 2'!G175+'Приложение 2'!G178</f>
        <v>526773.30000000005</v>
      </c>
      <c r="E53" s="12">
        <f>'Приложение 2'!H175+'Приложение 2'!H178</f>
        <v>527883.6</v>
      </c>
      <c r="F53" s="12">
        <f>'Приложение 2'!I175+'Приложение 2'!I178</f>
        <v>580671.96</v>
      </c>
      <c r="G53" s="12">
        <f>'Приложение 2'!J175+'Приложение 2'!J178</f>
        <v>638739.196</v>
      </c>
      <c r="H53" s="1"/>
      <c r="I53" s="1"/>
    </row>
    <row r="54" spans="2:9" ht="15.75" x14ac:dyDescent="0.25">
      <c r="B54" s="5" t="s">
        <v>37</v>
      </c>
      <c r="C54" s="12"/>
      <c r="D54" s="13"/>
      <c r="E54" s="13"/>
      <c r="F54" s="13"/>
      <c r="G54" s="13"/>
      <c r="H54" s="1"/>
      <c r="I54" s="1"/>
    </row>
    <row r="55" spans="2:9" ht="15.75" x14ac:dyDescent="0.25">
      <c r="B55" s="5" t="s">
        <v>10</v>
      </c>
      <c r="C55" s="13"/>
      <c r="D55" s="13"/>
      <c r="E55" s="13"/>
      <c r="F55" s="13"/>
      <c r="G55" s="13"/>
      <c r="H55" s="1"/>
      <c r="I55" s="1"/>
    </row>
    <row r="56" spans="2:9" ht="15.75" x14ac:dyDescent="0.25">
      <c r="B56" s="16" t="s">
        <v>79</v>
      </c>
      <c r="C56" s="17">
        <f>C53+C54+C55</f>
        <v>458536.9</v>
      </c>
      <c r="D56" s="17">
        <f t="shared" ref="D56:G56" si="7">D53+D54+D55</f>
        <v>526773.30000000005</v>
      </c>
      <c r="E56" s="17">
        <f t="shared" si="7"/>
        <v>527883.6</v>
      </c>
      <c r="F56" s="17">
        <f t="shared" si="7"/>
        <v>580671.96</v>
      </c>
      <c r="G56" s="17">
        <f t="shared" si="7"/>
        <v>638739.196</v>
      </c>
      <c r="H56" s="70"/>
      <c r="I56" s="1"/>
    </row>
    <row r="57" spans="2:9" ht="15.75" x14ac:dyDescent="0.25">
      <c r="B57" s="4" t="s">
        <v>11</v>
      </c>
      <c r="C57" s="5"/>
      <c r="D57" s="5"/>
      <c r="E57" s="5"/>
      <c r="F57" s="5"/>
      <c r="G57" s="5"/>
      <c r="H57" s="1"/>
      <c r="I57" s="1"/>
    </row>
    <row r="58" spans="2:9" ht="47.25" x14ac:dyDescent="0.25">
      <c r="B58" s="19" t="s">
        <v>111</v>
      </c>
      <c r="C58" s="20">
        <v>1</v>
      </c>
      <c r="D58" s="20">
        <v>1</v>
      </c>
      <c r="E58" s="20">
        <v>1</v>
      </c>
      <c r="F58" s="20">
        <v>1</v>
      </c>
      <c r="G58" s="20">
        <v>1</v>
      </c>
      <c r="H58" s="1"/>
      <c r="I58" s="1"/>
    </row>
    <row r="59" spans="2:9" ht="40.5" customHeight="1" x14ac:dyDescent="0.25">
      <c r="B59" s="74" t="s">
        <v>80</v>
      </c>
      <c r="C59" s="75"/>
      <c r="D59" s="83" t="s">
        <v>86</v>
      </c>
      <c r="E59" s="84"/>
      <c r="F59" s="84"/>
      <c r="G59" s="85"/>
      <c r="H59" s="1"/>
      <c r="I59" s="1"/>
    </row>
    <row r="60" spans="2:9" ht="15.75" x14ac:dyDescent="0.25">
      <c r="B60" s="5" t="s">
        <v>8</v>
      </c>
      <c r="C60" s="12"/>
      <c r="D60" s="12"/>
      <c r="E60" s="12"/>
      <c r="F60" s="12"/>
      <c r="G60" s="12"/>
      <c r="H60" s="1"/>
      <c r="I60" s="1"/>
    </row>
    <row r="61" spans="2:9" ht="15.75" x14ac:dyDescent="0.25">
      <c r="B61" s="5" t="s">
        <v>37</v>
      </c>
      <c r="C61" s="12">
        <f>'Приложение 2'!F184</f>
        <v>641104</v>
      </c>
      <c r="D61" s="12">
        <f>'Приложение 2'!G184</f>
        <v>673159.2</v>
      </c>
      <c r="E61" s="12">
        <f>'Приложение 2'!H184</f>
        <v>706817.2</v>
      </c>
      <c r="F61" s="12">
        <f>'Приложение 2'!I184</f>
        <v>777498.91999999993</v>
      </c>
      <c r="G61" s="12">
        <f>'Приложение 2'!J184</f>
        <v>855248.79200000002</v>
      </c>
      <c r="H61" s="1"/>
      <c r="I61" s="1"/>
    </row>
    <row r="62" spans="2:9" ht="15.75" x14ac:dyDescent="0.25">
      <c r="B62" s="5" t="s">
        <v>10</v>
      </c>
      <c r="C62" s="13"/>
      <c r="D62" s="13"/>
      <c r="E62" s="13"/>
      <c r="F62" s="13"/>
      <c r="G62" s="13"/>
      <c r="H62" s="1"/>
      <c r="I62" s="1"/>
    </row>
    <row r="63" spans="2:9" ht="15.75" x14ac:dyDescent="0.25">
      <c r="B63" s="16" t="s">
        <v>81</v>
      </c>
      <c r="C63" s="17">
        <f>C60+C61+C62</f>
        <v>641104</v>
      </c>
      <c r="D63" s="17">
        <f t="shared" ref="D63:G63" si="8">D60+D61+D62</f>
        <v>673159.2</v>
      </c>
      <c r="E63" s="17">
        <f t="shared" si="8"/>
        <v>706817.2</v>
      </c>
      <c r="F63" s="17">
        <f t="shared" si="8"/>
        <v>777498.91999999993</v>
      </c>
      <c r="G63" s="17">
        <f t="shared" si="8"/>
        <v>855248.79200000002</v>
      </c>
      <c r="H63" s="70"/>
      <c r="I63" s="1"/>
    </row>
    <row r="64" spans="2:9" ht="15.75" x14ac:dyDescent="0.25">
      <c r="B64" s="4" t="s">
        <v>11</v>
      </c>
      <c r="C64" s="5"/>
      <c r="D64" s="5"/>
      <c r="E64" s="5"/>
      <c r="F64" s="5"/>
      <c r="G64" s="5"/>
      <c r="H64" s="1"/>
      <c r="I64" s="1"/>
    </row>
    <row r="65" spans="2:9" ht="31.5" x14ac:dyDescent="0.25">
      <c r="B65" s="19" t="s">
        <v>87</v>
      </c>
      <c r="C65" s="21">
        <v>0.95</v>
      </c>
      <c r="D65" s="21">
        <v>0.95</v>
      </c>
      <c r="E65" s="21">
        <v>0.95</v>
      </c>
      <c r="F65" s="21">
        <v>0.95</v>
      </c>
      <c r="G65" s="21">
        <v>0.95</v>
      </c>
      <c r="H65" s="1"/>
      <c r="I65" s="1"/>
    </row>
    <row r="66" spans="2:9" ht="38.25" customHeight="1" x14ac:dyDescent="0.25">
      <c r="B66" s="74" t="s">
        <v>84</v>
      </c>
      <c r="C66" s="75"/>
      <c r="D66" s="83" t="s">
        <v>89</v>
      </c>
      <c r="E66" s="84"/>
      <c r="F66" s="84"/>
      <c r="G66" s="85"/>
      <c r="H66" s="1"/>
      <c r="I66" s="1"/>
    </row>
    <row r="67" spans="2:9" ht="15.75" x14ac:dyDescent="0.25">
      <c r="B67" s="5" t="s">
        <v>8</v>
      </c>
      <c r="C67" s="12"/>
      <c r="D67" s="12"/>
      <c r="E67" s="12"/>
      <c r="F67" s="12"/>
      <c r="G67" s="12"/>
      <c r="H67" s="1"/>
      <c r="I67" s="1"/>
    </row>
    <row r="68" spans="2:9" ht="15.75" x14ac:dyDescent="0.25">
      <c r="B68" s="5" t="s">
        <v>37</v>
      </c>
      <c r="C68" s="12">
        <f>'Приложение 2'!F192</f>
        <v>485416.9</v>
      </c>
      <c r="D68" s="12">
        <f>'Приложение 2'!G192</f>
        <v>509687.8</v>
      </c>
      <c r="E68" s="12">
        <f>'Приложение 2'!H192</f>
        <v>535172.1</v>
      </c>
      <c r="F68" s="12">
        <f>'Приложение 2'!I192</f>
        <v>588689.30999999994</v>
      </c>
      <c r="G68" s="12">
        <f>'Приложение 2'!J192</f>
        <v>647558.23100000003</v>
      </c>
      <c r="H68" s="1"/>
      <c r="I68" s="1"/>
    </row>
    <row r="69" spans="2:9" ht="15.75" x14ac:dyDescent="0.25">
      <c r="B69" s="5" t="s">
        <v>10</v>
      </c>
      <c r="C69" s="13"/>
      <c r="D69" s="13"/>
      <c r="E69" s="13"/>
      <c r="F69" s="13"/>
      <c r="G69" s="13"/>
      <c r="H69" s="1"/>
      <c r="I69" s="1"/>
    </row>
    <row r="70" spans="2:9" ht="15.75" x14ac:dyDescent="0.25">
      <c r="B70" s="16" t="s">
        <v>85</v>
      </c>
      <c r="C70" s="17">
        <f>C67+C68+C69</f>
        <v>485416.9</v>
      </c>
      <c r="D70" s="17">
        <f t="shared" ref="D70:G70" si="9">D67+D68+D69</f>
        <v>509687.8</v>
      </c>
      <c r="E70" s="17">
        <f t="shared" si="9"/>
        <v>535172.1</v>
      </c>
      <c r="F70" s="17">
        <f t="shared" si="9"/>
        <v>588689.30999999994</v>
      </c>
      <c r="G70" s="17">
        <f t="shared" si="9"/>
        <v>647558.23100000003</v>
      </c>
      <c r="H70" s="70"/>
      <c r="I70" s="1"/>
    </row>
    <row r="71" spans="2:9" ht="15.75" x14ac:dyDescent="0.25">
      <c r="B71" s="4" t="s">
        <v>11</v>
      </c>
      <c r="C71" s="5"/>
      <c r="D71" s="5"/>
      <c r="E71" s="5"/>
      <c r="F71" s="5"/>
      <c r="G71" s="5"/>
      <c r="H71" s="1"/>
      <c r="I71" s="1"/>
    </row>
    <row r="72" spans="2:9" ht="63" x14ac:dyDescent="0.25">
      <c r="B72" s="19" t="s">
        <v>115</v>
      </c>
      <c r="C72" s="21" t="s">
        <v>39</v>
      </c>
      <c r="D72" s="21" t="s">
        <v>39</v>
      </c>
      <c r="E72" s="21" t="s">
        <v>39</v>
      </c>
      <c r="F72" s="21" t="s">
        <v>39</v>
      </c>
      <c r="G72" s="21" t="s">
        <v>39</v>
      </c>
      <c r="H72" s="1"/>
      <c r="I72" s="1"/>
    </row>
    <row r="73" spans="2:9" ht="40.5" customHeight="1" x14ac:dyDescent="0.25">
      <c r="B73" s="74" t="s">
        <v>88</v>
      </c>
      <c r="C73" s="75"/>
      <c r="D73" s="83" t="s">
        <v>96</v>
      </c>
      <c r="E73" s="84"/>
      <c r="F73" s="84"/>
      <c r="G73" s="85"/>
      <c r="H73" s="1"/>
      <c r="I73" s="1"/>
    </row>
    <row r="74" spans="2:9" ht="15.75" x14ac:dyDescent="0.25">
      <c r="B74" s="5" t="s">
        <v>8</v>
      </c>
      <c r="C74" s="12">
        <f>'Приложение 2'!G199</f>
        <v>0</v>
      </c>
      <c r="D74" s="12">
        <f>'Приложение 2'!H199</f>
        <v>0</v>
      </c>
      <c r="E74" s="12">
        <f>'Приложение 2'!I199</f>
        <v>0</v>
      </c>
      <c r="F74" s="12">
        <f>'Приложение 2'!J199</f>
        <v>0</v>
      </c>
      <c r="G74" s="12">
        <f>'Приложение 2'!K199</f>
        <v>0</v>
      </c>
      <c r="H74" s="1"/>
      <c r="I74" s="1"/>
    </row>
    <row r="75" spans="2:9" ht="15.75" x14ac:dyDescent="0.25">
      <c r="B75" s="5" t="s">
        <v>37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"/>
      <c r="I75" s="1"/>
    </row>
    <row r="76" spans="2:9" ht="15.75" x14ac:dyDescent="0.25">
      <c r="B76" s="5" t="s">
        <v>10</v>
      </c>
      <c r="C76" s="13"/>
      <c r="D76" s="13"/>
      <c r="E76" s="13"/>
      <c r="F76" s="13"/>
      <c r="G76" s="13"/>
      <c r="H76" s="1"/>
      <c r="I76" s="1"/>
    </row>
    <row r="77" spans="2:9" ht="15.75" x14ac:dyDescent="0.25">
      <c r="B77" s="16" t="s">
        <v>90</v>
      </c>
      <c r="C77" s="17">
        <f>C74+C75+C76</f>
        <v>0</v>
      </c>
      <c r="D77" s="17">
        <f t="shared" ref="D77:G77" si="10">D74+D75+D76</f>
        <v>0</v>
      </c>
      <c r="E77" s="17">
        <f t="shared" si="10"/>
        <v>0</v>
      </c>
      <c r="F77" s="17">
        <f t="shared" si="10"/>
        <v>0</v>
      </c>
      <c r="G77" s="17">
        <f t="shared" si="10"/>
        <v>0</v>
      </c>
      <c r="H77" s="1"/>
      <c r="I77" s="1"/>
    </row>
    <row r="78" spans="2:9" ht="15.75" x14ac:dyDescent="0.25">
      <c r="B78" s="4" t="s">
        <v>11</v>
      </c>
      <c r="C78" s="5"/>
      <c r="D78" s="5"/>
      <c r="E78" s="5"/>
      <c r="F78" s="5"/>
      <c r="G78" s="5"/>
      <c r="H78" s="1"/>
      <c r="I78" s="1"/>
    </row>
    <row r="79" spans="2:9" ht="31.5" x14ac:dyDescent="0.25">
      <c r="B79" s="19" t="s">
        <v>116</v>
      </c>
      <c r="C79" s="21">
        <v>1</v>
      </c>
      <c r="D79" s="21"/>
      <c r="E79" s="21"/>
      <c r="F79" s="21"/>
      <c r="G79" s="21"/>
      <c r="H79" s="1"/>
      <c r="I79" s="1"/>
    </row>
    <row r="80" spans="2:9" ht="29.25" customHeight="1" x14ac:dyDescent="0.25">
      <c r="B80" s="74" t="s">
        <v>91</v>
      </c>
      <c r="C80" s="75"/>
      <c r="D80" s="83" t="s">
        <v>117</v>
      </c>
      <c r="E80" s="84"/>
      <c r="F80" s="84"/>
      <c r="G80" s="85"/>
      <c r="H80" s="1"/>
      <c r="I80" s="1"/>
    </row>
    <row r="81" spans="2:9" ht="15.75" x14ac:dyDescent="0.25">
      <c r="B81" s="5" t="s">
        <v>8</v>
      </c>
      <c r="C81" s="12">
        <f>'Приложение 2'!G210</f>
        <v>0</v>
      </c>
      <c r="D81" s="12">
        <f>'Приложение 2'!H210</f>
        <v>0</v>
      </c>
      <c r="E81" s="12">
        <f>'Приложение 2'!I210</f>
        <v>0</v>
      </c>
      <c r="F81" s="12">
        <f>'Приложение 2'!J210</f>
        <v>0</v>
      </c>
      <c r="G81" s="12">
        <f>'Приложение 2'!K210</f>
        <v>0</v>
      </c>
      <c r="H81" s="1"/>
      <c r="I81" s="1"/>
    </row>
    <row r="82" spans="2:9" ht="15.75" x14ac:dyDescent="0.25">
      <c r="B82" s="5" t="s">
        <v>37</v>
      </c>
      <c r="C82" s="12"/>
      <c r="D82" s="12"/>
      <c r="E82" s="12"/>
      <c r="F82" s="12"/>
      <c r="G82" s="12"/>
      <c r="H82" s="1"/>
      <c r="I82" s="1"/>
    </row>
    <row r="83" spans="2:9" ht="15.75" x14ac:dyDescent="0.25">
      <c r="B83" s="5" t="s">
        <v>10</v>
      </c>
      <c r="C83" s="13"/>
      <c r="D83" s="13"/>
      <c r="E83" s="13"/>
      <c r="F83" s="13"/>
      <c r="G83" s="13"/>
      <c r="H83" s="1"/>
      <c r="I83" s="1"/>
    </row>
    <row r="84" spans="2:9" ht="15.75" x14ac:dyDescent="0.25">
      <c r="B84" s="16" t="s">
        <v>94</v>
      </c>
      <c r="C84" s="17">
        <f>C81+C82+C83</f>
        <v>0</v>
      </c>
      <c r="D84" s="17">
        <f t="shared" ref="D84:G84" si="11">D81+D82+D83</f>
        <v>0</v>
      </c>
      <c r="E84" s="17">
        <f t="shared" si="11"/>
        <v>0</v>
      </c>
      <c r="F84" s="17">
        <f t="shared" si="11"/>
        <v>0</v>
      </c>
      <c r="G84" s="17">
        <f t="shared" si="11"/>
        <v>0</v>
      </c>
      <c r="H84" s="1"/>
      <c r="I84" s="1"/>
    </row>
    <row r="85" spans="2:9" ht="15.75" x14ac:dyDescent="0.25">
      <c r="B85" s="4" t="s">
        <v>11</v>
      </c>
      <c r="C85" s="5"/>
      <c r="D85" s="5"/>
      <c r="E85" s="5"/>
      <c r="F85" s="5"/>
      <c r="G85" s="5"/>
      <c r="H85" s="1"/>
      <c r="I85" s="1"/>
    </row>
    <row r="86" spans="2:9" ht="15.75" x14ac:dyDescent="0.25">
      <c r="B86" s="19" t="s">
        <v>98</v>
      </c>
      <c r="C86" s="21">
        <v>1</v>
      </c>
      <c r="D86" s="21">
        <v>1</v>
      </c>
      <c r="E86" s="21">
        <v>1</v>
      </c>
      <c r="F86" s="21">
        <v>1</v>
      </c>
      <c r="G86" s="21">
        <v>1</v>
      </c>
      <c r="H86" s="1"/>
      <c r="I86" s="1"/>
    </row>
    <row r="87" spans="2:9" ht="35.25" customHeight="1" x14ac:dyDescent="0.25">
      <c r="B87" s="74" t="s">
        <v>95</v>
      </c>
      <c r="C87" s="75"/>
      <c r="D87" s="83" t="s">
        <v>118</v>
      </c>
      <c r="E87" s="84"/>
      <c r="F87" s="84"/>
      <c r="G87" s="85"/>
      <c r="H87" s="1"/>
      <c r="I87" s="1"/>
    </row>
    <row r="88" spans="2:9" ht="15.75" x14ac:dyDescent="0.25">
      <c r="B88" s="5" t="s">
        <v>8</v>
      </c>
      <c r="C88" s="12">
        <f>'Приложение 2'!G218</f>
        <v>0</v>
      </c>
      <c r="D88" s="12">
        <f>'Приложение 2'!H218</f>
        <v>0</v>
      </c>
      <c r="E88" s="12">
        <f>'Приложение 2'!I218</f>
        <v>0</v>
      </c>
      <c r="F88" s="12">
        <f>'Приложение 2'!J218</f>
        <v>0</v>
      </c>
      <c r="G88" s="12">
        <f>'Приложение 2'!K218</f>
        <v>0</v>
      </c>
      <c r="H88" s="1"/>
      <c r="I88" s="1"/>
    </row>
    <row r="89" spans="2:9" ht="15.75" x14ac:dyDescent="0.25">
      <c r="B89" s="5" t="s">
        <v>37</v>
      </c>
      <c r="C89" s="12"/>
      <c r="D89" s="12"/>
      <c r="E89" s="12"/>
      <c r="F89" s="12"/>
      <c r="G89" s="12"/>
      <c r="H89" s="1"/>
      <c r="I89" s="1"/>
    </row>
    <row r="90" spans="2:9" ht="15.75" x14ac:dyDescent="0.25">
      <c r="B90" s="5" t="s">
        <v>10</v>
      </c>
      <c r="C90" s="13"/>
      <c r="D90" s="13"/>
      <c r="E90" s="13"/>
      <c r="F90" s="13"/>
      <c r="G90" s="13"/>
      <c r="H90" s="1"/>
      <c r="I90" s="1"/>
    </row>
    <row r="91" spans="2:9" ht="15.75" x14ac:dyDescent="0.25">
      <c r="B91" s="16" t="s">
        <v>97</v>
      </c>
      <c r="C91" s="17">
        <f>C88+C89+C90</f>
        <v>0</v>
      </c>
      <c r="D91" s="17">
        <f t="shared" ref="D91:G91" si="12">D88+D89+D90</f>
        <v>0</v>
      </c>
      <c r="E91" s="17">
        <f t="shared" si="12"/>
        <v>0</v>
      </c>
      <c r="F91" s="17">
        <f t="shared" si="12"/>
        <v>0</v>
      </c>
      <c r="G91" s="17">
        <f t="shared" si="12"/>
        <v>0</v>
      </c>
      <c r="H91" s="1"/>
      <c r="I91" s="1"/>
    </row>
    <row r="92" spans="2:9" ht="15.75" x14ac:dyDescent="0.25">
      <c r="B92" s="4" t="s">
        <v>11</v>
      </c>
      <c r="C92" s="5"/>
      <c r="D92" s="5"/>
      <c r="E92" s="5"/>
      <c r="F92" s="5"/>
      <c r="G92" s="5"/>
      <c r="H92" s="1"/>
      <c r="I92" s="1"/>
    </row>
    <row r="93" spans="2:9" ht="15.75" x14ac:dyDescent="0.25">
      <c r="B93" s="19" t="s">
        <v>98</v>
      </c>
      <c r="C93" s="21">
        <v>1</v>
      </c>
      <c r="D93" s="21">
        <v>1</v>
      </c>
      <c r="E93" s="21">
        <v>1</v>
      </c>
      <c r="F93" s="21">
        <v>1</v>
      </c>
      <c r="G93" s="21">
        <v>1</v>
      </c>
      <c r="H93" s="1"/>
      <c r="I93" s="1"/>
    </row>
    <row r="94" spans="2:9" ht="31.5" customHeight="1" x14ac:dyDescent="0.25">
      <c r="B94" s="74" t="s">
        <v>99</v>
      </c>
      <c r="C94" s="75"/>
      <c r="D94" s="83" t="s">
        <v>119</v>
      </c>
      <c r="E94" s="84"/>
      <c r="F94" s="84"/>
      <c r="G94" s="85"/>
      <c r="H94" s="1"/>
      <c r="I94" s="1"/>
    </row>
    <row r="95" spans="2:9" ht="15.75" x14ac:dyDescent="0.25">
      <c r="B95" s="5" t="s">
        <v>8</v>
      </c>
      <c r="C95" s="12">
        <f>'Приложение 2'!F226</f>
        <v>10000</v>
      </c>
      <c r="D95" s="12">
        <f>'Приложение 2'!H226</f>
        <v>0</v>
      </c>
      <c r="E95" s="12">
        <f>'Приложение 2'!I226</f>
        <v>0</v>
      </c>
      <c r="F95" s="12">
        <f>'Приложение 2'!J226</f>
        <v>0</v>
      </c>
      <c r="G95" s="12">
        <f>'Приложение 2'!K226</f>
        <v>0</v>
      </c>
      <c r="H95" s="1"/>
      <c r="I95" s="1"/>
    </row>
    <row r="96" spans="2:9" ht="15.75" x14ac:dyDescent="0.25">
      <c r="B96" s="5" t="s">
        <v>37</v>
      </c>
      <c r="C96" s="12"/>
      <c r="D96" s="12"/>
      <c r="E96" s="12"/>
      <c r="F96" s="12"/>
      <c r="G96" s="12"/>
      <c r="H96" s="1"/>
      <c r="I96" s="1"/>
    </row>
    <row r="97" spans="2:9" ht="15.75" x14ac:dyDescent="0.25">
      <c r="B97" s="5" t="s">
        <v>10</v>
      </c>
      <c r="C97" s="13"/>
      <c r="D97" s="13"/>
      <c r="E97" s="13"/>
      <c r="F97" s="13"/>
      <c r="G97" s="13"/>
      <c r="H97" s="1"/>
      <c r="I97" s="1"/>
    </row>
    <row r="98" spans="2:9" ht="15.75" x14ac:dyDescent="0.25">
      <c r="B98" s="16" t="s">
        <v>101</v>
      </c>
      <c r="C98" s="17">
        <f>C95+C96+C97</f>
        <v>10000</v>
      </c>
      <c r="D98" s="17">
        <f t="shared" ref="D98:G98" si="13">D95+D96+D97</f>
        <v>0</v>
      </c>
      <c r="E98" s="17">
        <f t="shared" si="13"/>
        <v>0</v>
      </c>
      <c r="F98" s="17">
        <f t="shared" si="13"/>
        <v>0</v>
      </c>
      <c r="G98" s="17">
        <f t="shared" si="13"/>
        <v>0</v>
      </c>
      <c r="H98" s="1"/>
      <c r="I98" s="1"/>
    </row>
    <row r="99" spans="2:9" ht="15.75" x14ac:dyDescent="0.25">
      <c r="B99" s="4" t="s">
        <v>11</v>
      </c>
      <c r="C99" s="5"/>
      <c r="D99" s="5"/>
      <c r="E99" s="5"/>
      <c r="F99" s="5"/>
      <c r="G99" s="5"/>
      <c r="H99" s="1"/>
      <c r="I99" s="1"/>
    </row>
    <row r="100" spans="2:9" ht="15.75" x14ac:dyDescent="0.25">
      <c r="B100" s="19" t="s">
        <v>98</v>
      </c>
      <c r="C100" s="21">
        <v>1</v>
      </c>
      <c r="D100" s="21">
        <v>1</v>
      </c>
      <c r="E100" s="21">
        <v>1</v>
      </c>
      <c r="F100" s="21">
        <v>1</v>
      </c>
      <c r="G100" s="21">
        <v>1</v>
      </c>
      <c r="H100" s="1"/>
      <c r="I100" s="1"/>
    </row>
    <row r="103" spans="2:9" x14ac:dyDescent="0.25">
      <c r="B103" s="1" t="s">
        <v>192</v>
      </c>
      <c r="C103" s="1"/>
      <c r="D103" s="1"/>
      <c r="E103" s="1"/>
      <c r="F103" s="1"/>
      <c r="G103" s="1"/>
    </row>
    <row r="104" spans="2:9" x14ac:dyDescent="0.25">
      <c r="B104" s="1"/>
      <c r="C104" s="1"/>
      <c r="D104" s="1"/>
      <c r="E104" s="1"/>
      <c r="F104" s="1"/>
      <c r="G104" s="1"/>
    </row>
    <row r="105" spans="2:9" x14ac:dyDescent="0.25">
      <c r="B105" s="1" t="s">
        <v>238</v>
      </c>
    </row>
    <row r="107" spans="2:9" hidden="1" x14ac:dyDescent="0.25">
      <c r="B107" s="1" t="s">
        <v>193</v>
      </c>
    </row>
    <row r="108" spans="2:9" hidden="1" x14ac:dyDescent="0.25">
      <c r="B108" s="1" t="s">
        <v>224</v>
      </c>
      <c r="C108" t="s">
        <v>194</v>
      </c>
    </row>
    <row r="111" spans="2:9" x14ac:dyDescent="0.25">
      <c r="B111" s="73"/>
      <c r="C111" s="73"/>
      <c r="D111" s="73"/>
      <c r="E111" s="73"/>
      <c r="F111" s="73"/>
      <c r="G111" s="73"/>
    </row>
    <row r="112" spans="2:9" x14ac:dyDescent="0.25">
      <c r="B112" s="73"/>
      <c r="C112" s="73"/>
      <c r="D112" s="73"/>
      <c r="E112" s="73"/>
      <c r="F112" s="73"/>
      <c r="G112" s="73"/>
    </row>
  </sheetData>
  <mergeCells count="31">
    <mergeCell ref="B66:C66"/>
    <mergeCell ref="D66:G66"/>
    <mergeCell ref="B94:C94"/>
    <mergeCell ref="D94:G94"/>
    <mergeCell ref="B73:C73"/>
    <mergeCell ref="D73:G73"/>
    <mergeCell ref="B80:C80"/>
    <mergeCell ref="D80:G80"/>
    <mergeCell ref="B87:C87"/>
    <mergeCell ref="D87:G87"/>
    <mergeCell ref="D45:G45"/>
    <mergeCell ref="B52:C52"/>
    <mergeCell ref="D52:G52"/>
    <mergeCell ref="B59:C59"/>
    <mergeCell ref="D59:G59"/>
    <mergeCell ref="B111:G112"/>
    <mergeCell ref="B7:G7"/>
    <mergeCell ref="B12:C12"/>
    <mergeCell ref="D12:G12"/>
    <mergeCell ref="B21:C21"/>
    <mergeCell ref="D21:G21"/>
    <mergeCell ref="B10:C10"/>
    <mergeCell ref="D10:G10"/>
    <mergeCell ref="B11:C11"/>
    <mergeCell ref="D11:G11"/>
    <mergeCell ref="B8:G8"/>
    <mergeCell ref="B31:C31"/>
    <mergeCell ref="D31:G31"/>
    <mergeCell ref="B38:C38"/>
    <mergeCell ref="D38:G38"/>
    <mergeCell ref="B45:C45"/>
  </mergeCells>
  <pageMargins left="0.39370078740157483" right="0" top="0" bottom="0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00"/>
  </sheetPr>
  <dimension ref="B1:I48"/>
  <sheetViews>
    <sheetView workbookViewId="0">
      <selection activeCell="L16" sqref="L16"/>
    </sheetView>
  </sheetViews>
  <sheetFormatPr defaultRowHeight="15" x14ac:dyDescent="0.25"/>
  <cols>
    <col min="2" max="2" width="46.42578125" customWidth="1"/>
    <col min="3" max="3" width="17" customWidth="1"/>
    <col min="4" max="5" width="20.7109375" customWidth="1"/>
    <col min="6" max="7" width="20.140625" customWidth="1"/>
  </cols>
  <sheetData>
    <row r="1" spans="2:9" x14ac:dyDescent="0.25">
      <c r="B1" s="1"/>
      <c r="C1" s="1"/>
      <c r="F1" s="1" t="s">
        <v>0</v>
      </c>
      <c r="H1" s="1"/>
      <c r="I1" s="1"/>
    </row>
    <row r="2" spans="2:9" x14ac:dyDescent="0.25">
      <c r="B2" s="1"/>
      <c r="C2" s="1"/>
      <c r="F2" s="1" t="s">
        <v>1</v>
      </c>
      <c r="H2" s="1"/>
      <c r="I2" s="1"/>
    </row>
    <row r="3" spans="2:9" x14ac:dyDescent="0.25">
      <c r="B3" s="1"/>
      <c r="C3" s="1"/>
      <c r="F3" s="1" t="s">
        <v>2</v>
      </c>
      <c r="H3" s="1"/>
      <c r="I3" s="1"/>
    </row>
    <row r="4" spans="2:9" x14ac:dyDescent="0.25">
      <c r="B4" s="1"/>
      <c r="C4" s="1"/>
      <c r="F4" s="1" t="s">
        <v>3</v>
      </c>
      <c r="H4" s="1"/>
      <c r="I4" s="1"/>
    </row>
    <row r="5" spans="2:9" x14ac:dyDescent="0.25">
      <c r="B5" s="1"/>
      <c r="C5" s="1"/>
      <c r="F5" s="1" t="s">
        <v>4</v>
      </c>
      <c r="H5" s="1"/>
      <c r="I5" s="1"/>
    </row>
    <row r="6" spans="2:9" x14ac:dyDescent="0.25">
      <c r="B6" s="1"/>
      <c r="C6" s="1"/>
      <c r="D6" s="1"/>
      <c r="E6" s="1"/>
      <c r="F6" s="1"/>
      <c r="G6" s="1"/>
      <c r="H6" s="1"/>
      <c r="I6" s="1"/>
    </row>
    <row r="7" spans="2:9" ht="18.75" x14ac:dyDescent="0.3">
      <c r="B7" s="79" t="s">
        <v>241</v>
      </c>
      <c r="C7" s="79"/>
      <c r="D7" s="79"/>
      <c r="E7" s="79"/>
      <c r="F7" s="79"/>
      <c r="G7" s="79"/>
      <c r="H7" s="1"/>
      <c r="I7" s="1"/>
    </row>
    <row r="8" spans="2:9" ht="47.25" customHeight="1" x14ac:dyDescent="0.25">
      <c r="B8" s="80" t="s">
        <v>196</v>
      </c>
      <c r="C8" s="80"/>
      <c r="D8" s="80"/>
      <c r="E8" s="80"/>
      <c r="F8" s="80"/>
      <c r="G8" s="80"/>
      <c r="H8" s="1"/>
      <c r="I8" s="1"/>
    </row>
    <row r="9" spans="2:9" x14ac:dyDescent="0.25">
      <c r="B9" s="2"/>
      <c r="C9" s="1"/>
      <c r="D9" s="1"/>
      <c r="E9" s="1"/>
      <c r="F9" s="1"/>
      <c r="G9" s="1"/>
      <c r="H9" s="1"/>
      <c r="I9" s="1"/>
    </row>
    <row r="10" spans="2:9" ht="69" customHeight="1" x14ac:dyDescent="0.25">
      <c r="B10" s="74" t="s">
        <v>6</v>
      </c>
      <c r="C10" s="75"/>
      <c r="D10" s="83" t="s">
        <v>40</v>
      </c>
      <c r="E10" s="84"/>
      <c r="F10" s="84"/>
      <c r="G10" s="85"/>
      <c r="H10" s="1"/>
      <c r="I10" s="1"/>
    </row>
    <row r="11" spans="2:9" ht="66.75" customHeight="1" x14ac:dyDescent="0.25">
      <c r="B11" s="81" t="s">
        <v>5</v>
      </c>
      <c r="C11" s="82"/>
      <c r="D11" s="81" t="s">
        <v>120</v>
      </c>
      <c r="E11" s="86"/>
      <c r="F11" s="86"/>
      <c r="G11" s="82"/>
      <c r="H11" s="1"/>
      <c r="I11" s="1"/>
    </row>
    <row r="12" spans="2:9" x14ac:dyDescent="0.25">
      <c r="B12" s="105"/>
      <c r="C12" s="106"/>
      <c r="D12" s="105"/>
      <c r="E12" s="107"/>
      <c r="F12" s="107"/>
      <c r="G12" s="106"/>
      <c r="H12" s="1"/>
      <c r="I12" s="1"/>
    </row>
    <row r="13" spans="2:9" ht="31.5" x14ac:dyDescent="0.25">
      <c r="B13" s="4" t="s">
        <v>7</v>
      </c>
      <c r="C13" s="4" t="s">
        <v>222</v>
      </c>
      <c r="D13" s="4" t="s">
        <v>220</v>
      </c>
      <c r="E13" s="4" t="s">
        <v>190</v>
      </c>
      <c r="F13" s="4" t="s">
        <v>191</v>
      </c>
      <c r="G13" s="4" t="s">
        <v>221</v>
      </c>
      <c r="H13" s="1"/>
      <c r="I13" s="1"/>
    </row>
    <row r="14" spans="2:9" ht="15.75" x14ac:dyDescent="0.25">
      <c r="B14" s="5" t="s">
        <v>8</v>
      </c>
      <c r="C14" s="12">
        <f>C21+C28+C35</f>
        <v>2722689.1</v>
      </c>
      <c r="D14" s="12">
        <f>D21+D28+D35</f>
        <v>4043652</v>
      </c>
      <c r="E14" s="12">
        <f>E21+E28+E35</f>
        <v>4374129.0999999996</v>
      </c>
      <c r="F14" s="12">
        <f t="shared" ref="F14:G14" si="0">E14</f>
        <v>4374129.0999999996</v>
      </c>
      <c r="G14" s="12">
        <f t="shared" si="0"/>
        <v>4374129.0999999996</v>
      </c>
      <c r="H14" s="1"/>
      <c r="I14" s="1"/>
    </row>
    <row r="15" spans="2:9" ht="15.75" x14ac:dyDescent="0.25">
      <c r="B15" s="5" t="s">
        <v>37</v>
      </c>
      <c r="C15" s="12">
        <f>C22+C29+C36</f>
        <v>0</v>
      </c>
      <c r="D15" s="13">
        <f>C15</f>
        <v>0</v>
      </c>
      <c r="E15" s="13">
        <f t="shared" ref="E15:F15" si="1">D15</f>
        <v>0</v>
      </c>
      <c r="F15" s="13">
        <f t="shared" si="1"/>
        <v>0</v>
      </c>
      <c r="G15" s="13">
        <f>D15</f>
        <v>0</v>
      </c>
      <c r="H15" s="1"/>
      <c r="I15" s="1"/>
    </row>
    <row r="16" spans="2:9" ht="15.75" x14ac:dyDescent="0.25">
      <c r="B16" s="5" t="s">
        <v>10</v>
      </c>
      <c r="C16" s="13"/>
      <c r="D16" s="13"/>
      <c r="E16" s="13"/>
      <c r="F16" s="13"/>
      <c r="G16" s="13"/>
      <c r="H16" s="1"/>
      <c r="I16" s="1"/>
    </row>
    <row r="17" spans="2:9" ht="15.75" x14ac:dyDescent="0.25">
      <c r="B17" s="16" t="s">
        <v>121</v>
      </c>
      <c r="C17" s="17">
        <f>C14+C15+C16</f>
        <v>2722689.1</v>
      </c>
      <c r="D17" s="17">
        <f t="shared" ref="D17:G17" si="2">D14+D15+D16</f>
        <v>4043652</v>
      </c>
      <c r="E17" s="17">
        <f t="shared" si="2"/>
        <v>4374129.0999999996</v>
      </c>
      <c r="F17" s="17">
        <f t="shared" si="2"/>
        <v>4374129.0999999996</v>
      </c>
      <c r="G17" s="17">
        <f t="shared" si="2"/>
        <v>4374129.0999999996</v>
      </c>
      <c r="H17" s="1"/>
      <c r="I17" s="1"/>
    </row>
    <row r="18" spans="2:9" ht="15.75" x14ac:dyDescent="0.25">
      <c r="B18" s="4" t="s">
        <v>11</v>
      </c>
      <c r="C18" s="5"/>
      <c r="D18" s="5"/>
      <c r="E18" s="5"/>
      <c r="F18" s="5"/>
      <c r="G18" s="5"/>
      <c r="H18" s="1"/>
      <c r="I18" s="1"/>
    </row>
    <row r="19" spans="2:9" ht="82.5" customHeight="1" x14ac:dyDescent="0.25">
      <c r="B19" s="37" t="s">
        <v>235</v>
      </c>
      <c r="C19" s="20">
        <v>1</v>
      </c>
      <c r="D19" s="20">
        <v>1</v>
      </c>
      <c r="E19" s="20">
        <v>1</v>
      </c>
      <c r="F19" s="20">
        <v>1</v>
      </c>
      <c r="G19" s="20">
        <v>1</v>
      </c>
      <c r="H19" s="1"/>
      <c r="I19" s="1"/>
    </row>
    <row r="20" spans="2:9" ht="54" customHeight="1" x14ac:dyDescent="0.25">
      <c r="B20" s="74" t="s">
        <v>63</v>
      </c>
      <c r="C20" s="75"/>
      <c r="D20" s="83" t="s">
        <v>122</v>
      </c>
      <c r="E20" s="84"/>
      <c r="F20" s="84"/>
      <c r="G20" s="85"/>
      <c r="H20" s="1"/>
      <c r="I20" s="1"/>
    </row>
    <row r="21" spans="2:9" ht="15.75" x14ac:dyDescent="0.25">
      <c r="B21" s="5" t="s">
        <v>8</v>
      </c>
      <c r="C21" s="12">
        <f>'Приложение 2'!G239</f>
        <v>2230800</v>
      </c>
      <c r="D21" s="12">
        <f>'Приложение 2'!H239</f>
        <v>3464838</v>
      </c>
      <c r="E21" s="12">
        <f>'Приложение 2'!I239</f>
        <v>3769038</v>
      </c>
      <c r="F21" s="12">
        <f>'Приложение 2'!J239</f>
        <v>4073238</v>
      </c>
      <c r="G21" s="12">
        <f>'Приложение 2'!K239</f>
        <v>4377438</v>
      </c>
      <c r="H21" s="1"/>
      <c r="I21" s="1"/>
    </row>
    <row r="22" spans="2:9" ht="15.75" x14ac:dyDescent="0.25">
      <c r="B22" s="5" t="s">
        <v>37</v>
      </c>
      <c r="C22" s="12"/>
      <c r="D22" s="13"/>
      <c r="E22" s="13"/>
      <c r="F22" s="13"/>
      <c r="G22" s="13"/>
      <c r="H22" s="1"/>
      <c r="I22" s="1"/>
    </row>
    <row r="23" spans="2:9" ht="15.75" x14ac:dyDescent="0.25">
      <c r="B23" s="5" t="s">
        <v>10</v>
      </c>
      <c r="C23" s="13"/>
      <c r="D23" s="13"/>
      <c r="E23" s="13"/>
      <c r="F23" s="13"/>
      <c r="G23" s="13"/>
      <c r="H23" s="1"/>
      <c r="I23" s="1"/>
    </row>
    <row r="24" spans="2:9" ht="15.75" x14ac:dyDescent="0.25">
      <c r="B24" s="16" t="s">
        <v>56</v>
      </c>
      <c r="C24" s="17">
        <f>C21+C22+C23</f>
        <v>2230800</v>
      </c>
      <c r="D24" s="17">
        <f t="shared" ref="D24:G24" si="3">D21+D22+D23</f>
        <v>3464838</v>
      </c>
      <c r="E24" s="17">
        <f t="shared" si="3"/>
        <v>3769038</v>
      </c>
      <c r="F24" s="17">
        <f t="shared" si="3"/>
        <v>4073238</v>
      </c>
      <c r="G24" s="17">
        <f t="shared" si="3"/>
        <v>4377438</v>
      </c>
      <c r="H24" s="1"/>
      <c r="I24" s="1"/>
    </row>
    <row r="25" spans="2:9" ht="15.75" x14ac:dyDescent="0.25">
      <c r="B25" s="4" t="s">
        <v>11</v>
      </c>
      <c r="C25" s="5"/>
      <c r="D25" s="5"/>
      <c r="E25" s="5"/>
      <c r="F25" s="5"/>
      <c r="G25" s="5"/>
      <c r="H25" s="1"/>
      <c r="I25" s="1"/>
    </row>
    <row r="26" spans="2:9" ht="157.5" x14ac:dyDescent="0.25">
      <c r="B26" s="19" t="s">
        <v>123</v>
      </c>
      <c r="C26" s="38">
        <v>2624</v>
      </c>
      <c r="D26" s="38">
        <v>2624</v>
      </c>
      <c r="E26" s="38">
        <v>5230</v>
      </c>
      <c r="F26" s="38">
        <v>5846</v>
      </c>
      <c r="G26" s="38">
        <v>6307</v>
      </c>
      <c r="H26" s="1"/>
      <c r="I26" s="1"/>
    </row>
    <row r="27" spans="2:9" ht="37.5" customHeight="1" x14ac:dyDescent="0.25">
      <c r="B27" s="74" t="s">
        <v>66</v>
      </c>
      <c r="C27" s="75"/>
      <c r="D27" s="83" t="s">
        <v>125</v>
      </c>
      <c r="E27" s="84"/>
      <c r="F27" s="84"/>
      <c r="G27" s="85"/>
      <c r="H27" s="1"/>
      <c r="I27" s="1"/>
    </row>
    <row r="28" spans="2:9" ht="15.75" x14ac:dyDescent="0.25">
      <c r="B28" s="5" t="s">
        <v>8</v>
      </c>
      <c r="C28" s="12">
        <f>'Приложение 2'!F250</f>
        <v>391889.1</v>
      </c>
      <c r="D28" s="12">
        <f>'Приложение 2'!G250</f>
        <v>408814</v>
      </c>
      <c r="E28" s="12">
        <f>'Приложение 2'!H250</f>
        <v>425091.1</v>
      </c>
      <c r="F28" s="12">
        <f>'Приложение 2'!I250</f>
        <v>467600.20999999996</v>
      </c>
      <c r="G28" s="12">
        <f>'Приложение 2'!J250</f>
        <v>514360.22100000002</v>
      </c>
      <c r="H28" s="1"/>
      <c r="I28" s="1"/>
    </row>
    <row r="29" spans="2:9" ht="15.75" x14ac:dyDescent="0.25">
      <c r="B29" s="5" t="s">
        <v>37</v>
      </c>
      <c r="C29" s="12"/>
      <c r="D29" s="13"/>
      <c r="E29" s="13"/>
      <c r="F29" s="13"/>
      <c r="G29" s="13"/>
      <c r="H29" s="1"/>
      <c r="I29" s="1"/>
    </row>
    <row r="30" spans="2:9" ht="15.75" x14ac:dyDescent="0.25">
      <c r="B30" s="5" t="s">
        <v>10</v>
      </c>
      <c r="C30" s="13"/>
      <c r="D30" s="13"/>
      <c r="E30" s="13"/>
      <c r="F30" s="13"/>
      <c r="G30" s="13"/>
      <c r="H30" s="1"/>
      <c r="I30" s="1"/>
    </row>
    <row r="31" spans="2:9" ht="15.75" x14ac:dyDescent="0.25">
      <c r="B31" s="16" t="s">
        <v>57</v>
      </c>
      <c r="C31" s="17">
        <f>C28+C29+C30</f>
        <v>391889.1</v>
      </c>
      <c r="D31" s="17">
        <f t="shared" ref="D31:G31" si="4">D28+D29+D30</f>
        <v>408814</v>
      </c>
      <c r="E31" s="17">
        <f t="shared" si="4"/>
        <v>425091.1</v>
      </c>
      <c r="F31" s="17">
        <f t="shared" si="4"/>
        <v>467600.20999999996</v>
      </c>
      <c r="G31" s="17">
        <f t="shared" si="4"/>
        <v>514360.22100000002</v>
      </c>
      <c r="H31" s="1"/>
      <c r="I31" s="1"/>
    </row>
    <row r="32" spans="2:9" ht="15.75" x14ac:dyDescent="0.25">
      <c r="B32" s="4" t="s">
        <v>11</v>
      </c>
      <c r="C32" s="5"/>
      <c r="D32" s="5"/>
      <c r="E32" s="5"/>
      <c r="F32" s="5"/>
      <c r="G32" s="5"/>
      <c r="H32" s="1"/>
      <c r="I32" s="1"/>
    </row>
    <row r="33" spans="2:9" ht="110.25" x14ac:dyDescent="0.25">
      <c r="B33" s="19" t="s">
        <v>124</v>
      </c>
      <c r="C33" s="22">
        <v>1.4E-2</v>
      </c>
      <c r="D33" s="22">
        <v>1.4E-2</v>
      </c>
      <c r="E33" s="22">
        <v>1.4E-2</v>
      </c>
      <c r="F33" s="22">
        <v>1.4E-2</v>
      </c>
      <c r="G33" s="22">
        <v>1.4E-2</v>
      </c>
      <c r="H33" s="1"/>
      <c r="I33" s="1"/>
    </row>
    <row r="34" spans="2:9" ht="38.25" customHeight="1" x14ac:dyDescent="0.25">
      <c r="B34" s="74" t="s">
        <v>69</v>
      </c>
      <c r="C34" s="75"/>
      <c r="D34" s="83" t="s">
        <v>126</v>
      </c>
      <c r="E34" s="84"/>
      <c r="F34" s="84"/>
      <c r="G34" s="85"/>
      <c r="H34" s="1"/>
      <c r="I34" s="1"/>
    </row>
    <row r="35" spans="2:9" ht="15.75" x14ac:dyDescent="0.25">
      <c r="B35" s="5" t="s">
        <v>8</v>
      </c>
      <c r="C35" s="12">
        <f>'Приложение 2'!F258</f>
        <v>100000</v>
      </c>
      <c r="D35" s="12">
        <f>'Приложение 2'!G258</f>
        <v>170000</v>
      </c>
      <c r="E35" s="12">
        <f>'Приложение 2'!H258</f>
        <v>180000</v>
      </c>
      <c r="F35" s="12">
        <f>'Приложение 2'!I258</f>
        <v>198000</v>
      </c>
      <c r="G35" s="12">
        <f>'Приложение 2'!J258</f>
        <v>217800</v>
      </c>
      <c r="H35" s="1"/>
      <c r="I35" s="1"/>
    </row>
    <row r="36" spans="2:9" ht="15.75" x14ac:dyDescent="0.25">
      <c r="B36" s="5" t="s">
        <v>37</v>
      </c>
      <c r="C36" s="12"/>
      <c r="D36" s="13"/>
      <c r="E36" s="13"/>
      <c r="F36" s="13"/>
      <c r="G36" s="13"/>
      <c r="H36" s="1"/>
      <c r="I36" s="1"/>
    </row>
    <row r="37" spans="2:9" ht="15.75" x14ac:dyDescent="0.25">
      <c r="B37" s="5" t="s">
        <v>10</v>
      </c>
      <c r="C37" s="13"/>
      <c r="D37" s="13"/>
      <c r="E37" s="13"/>
      <c r="F37" s="13"/>
      <c r="G37" s="13"/>
      <c r="H37" s="1"/>
      <c r="I37" s="1"/>
    </row>
    <row r="38" spans="2:9" ht="15.75" x14ac:dyDescent="0.25">
      <c r="B38" s="16" t="s">
        <v>73</v>
      </c>
      <c r="C38" s="17">
        <f>C35+C36+C37</f>
        <v>100000</v>
      </c>
      <c r="D38" s="17">
        <f t="shared" ref="D38:G38" si="5">D35+D36+D37</f>
        <v>170000</v>
      </c>
      <c r="E38" s="17">
        <f t="shared" si="5"/>
        <v>180000</v>
      </c>
      <c r="F38" s="17">
        <f t="shared" si="5"/>
        <v>198000</v>
      </c>
      <c r="G38" s="17">
        <f t="shared" si="5"/>
        <v>217800</v>
      </c>
      <c r="H38" s="1"/>
      <c r="I38" s="1"/>
    </row>
    <row r="39" spans="2:9" ht="15.75" x14ac:dyDescent="0.25">
      <c r="B39" s="4" t="s">
        <v>11</v>
      </c>
      <c r="C39" s="5"/>
      <c r="D39" s="5"/>
      <c r="E39" s="5"/>
      <c r="F39" s="5"/>
      <c r="G39" s="5"/>
      <c r="H39" s="1"/>
      <c r="I39" s="1"/>
    </row>
    <row r="40" spans="2:9" ht="47.25" x14ac:dyDescent="0.25">
      <c r="B40" s="19" t="s">
        <v>127</v>
      </c>
      <c r="C40" s="22">
        <v>3.0000000000000001E-3</v>
      </c>
      <c r="D40" s="22">
        <v>2E-3</v>
      </c>
      <c r="E40" s="22">
        <v>2E-3</v>
      </c>
      <c r="F40" s="22">
        <v>2E-3</v>
      </c>
      <c r="G40" s="22">
        <v>2E-3</v>
      </c>
      <c r="H40" s="1"/>
      <c r="I40" s="1"/>
    </row>
    <row r="43" spans="2:9" x14ac:dyDescent="0.25">
      <c r="B43" s="1" t="s">
        <v>192</v>
      </c>
      <c r="C43" s="1"/>
      <c r="D43" s="1"/>
      <c r="E43" s="1"/>
      <c r="F43" s="1"/>
      <c r="G43" s="1"/>
    </row>
    <row r="44" spans="2:9" x14ac:dyDescent="0.25">
      <c r="B44" s="1"/>
      <c r="C44" s="1"/>
      <c r="D44" s="1"/>
      <c r="E44" s="1"/>
      <c r="F44" s="1"/>
      <c r="G44" s="1"/>
    </row>
    <row r="45" spans="2:9" x14ac:dyDescent="0.25">
      <c r="B45" s="1" t="s">
        <v>238</v>
      </c>
    </row>
    <row r="47" spans="2:9" hidden="1" x14ac:dyDescent="0.25">
      <c r="B47" s="1" t="s">
        <v>193</v>
      </c>
    </row>
    <row r="48" spans="2:9" hidden="1" x14ac:dyDescent="0.25">
      <c r="B48" s="1" t="s">
        <v>224</v>
      </c>
      <c r="C48" t="s">
        <v>194</v>
      </c>
    </row>
  </sheetData>
  <mergeCells count="14">
    <mergeCell ref="B34:C34"/>
    <mergeCell ref="D34:G34"/>
    <mergeCell ref="B12:C12"/>
    <mergeCell ref="D12:G12"/>
    <mergeCell ref="B20:C20"/>
    <mergeCell ref="D20:G20"/>
    <mergeCell ref="B27:C27"/>
    <mergeCell ref="D27:G27"/>
    <mergeCell ref="B7:G7"/>
    <mergeCell ref="B8:G8"/>
    <mergeCell ref="B10:C10"/>
    <mergeCell ref="D10:G10"/>
    <mergeCell ref="B11:C11"/>
    <mergeCell ref="D11:G11"/>
  </mergeCells>
  <pageMargins left="0.70866141732283472" right="0" top="0" bottom="0" header="0.31496062992125984" footer="0.31496062992125984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00"/>
  </sheetPr>
  <dimension ref="B2:R308"/>
  <sheetViews>
    <sheetView zoomScale="85" zoomScaleNormal="85" workbookViewId="0">
      <selection activeCell="Q17" sqref="Q17"/>
    </sheetView>
  </sheetViews>
  <sheetFormatPr defaultRowHeight="15" x14ac:dyDescent="0.25"/>
  <cols>
    <col min="4" max="4" width="33.28515625" customWidth="1"/>
    <col min="5" max="5" width="15" customWidth="1"/>
    <col min="6" max="6" width="16.140625" bestFit="1" customWidth="1"/>
    <col min="7" max="7" width="14.7109375" bestFit="1" customWidth="1"/>
    <col min="8" max="9" width="13.5703125" style="28" customWidth="1"/>
    <col min="10" max="10" width="15.140625" style="28" bestFit="1" customWidth="1"/>
    <col min="11" max="11" width="14" customWidth="1"/>
    <col min="12" max="12" width="37.7109375" customWidth="1"/>
    <col min="14" max="14" width="14.7109375" bestFit="1" customWidth="1"/>
    <col min="15" max="15" width="15.140625" style="65" bestFit="1" customWidth="1"/>
    <col min="16" max="16" width="17.140625" bestFit="1" customWidth="1"/>
    <col min="17" max="17" width="14" customWidth="1"/>
    <col min="18" max="18" width="13.7109375" customWidth="1"/>
  </cols>
  <sheetData>
    <row r="2" spans="2:12" x14ac:dyDescent="0.25">
      <c r="K2" s="1" t="s">
        <v>13</v>
      </c>
    </row>
    <row r="3" spans="2:12" x14ac:dyDescent="0.25">
      <c r="K3" s="1" t="s">
        <v>1</v>
      </c>
    </row>
    <row r="4" spans="2:12" x14ac:dyDescent="0.25">
      <c r="K4" s="1" t="s">
        <v>2</v>
      </c>
    </row>
    <row r="5" spans="2:12" x14ac:dyDescent="0.25">
      <c r="K5" s="1" t="s">
        <v>3</v>
      </c>
    </row>
    <row r="6" spans="2:12" x14ac:dyDescent="0.25">
      <c r="K6" s="1" t="s">
        <v>4</v>
      </c>
    </row>
    <row r="8" spans="2:12" ht="18.75" x14ac:dyDescent="0.3">
      <c r="B8" s="79" t="s">
        <v>12</v>
      </c>
      <c r="C8" s="79"/>
      <c r="D8" s="79"/>
      <c r="E8" s="79"/>
      <c r="F8" s="79"/>
      <c r="G8" s="79"/>
      <c r="H8" s="79"/>
      <c r="I8" s="79"/>
      <c r="J8" s="79"/>
      <c r="K8" s="79"/>
      <c r="L8" s="79"/>
    </row>
    <row r="9" spans="2:12" ht="18.75" x14ac:dyDescent="0.3">
      <c r="B9" s="79" t="s">
        <v>14</v>
      </c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2:12" ht="18.75" x14ac:dyDescent="0.3">
      <c r="B10" s="79" t="s">
        <v>251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2:12" ht="18.75" x14ac:dyDescent="0.3">
      <c r="B11" s="3"/>
      <c r="C11" s="3"/>
      <c r="D11" s="3"/>
      <c r="E11" s="3"/>
      <c r="F11" s="3"/>
      <c r="G11" s="3"/>
      <c r="H11" s="29"/>
      <c r="I11" s="29"/>
      <c r="J11" s="29"/>
      <c r="K11" s="3"/>
      <c r="L11" s="3"/>
    </row>
    <row r="12" spans="2:12" ht="26.25" customHeight="1" x14ac:dyDescent="0.25">
      <c r="B12" s="116" t="s">
        <v>15</v>
      </c>
      <c r="C12" s="116" t="s">
        <v>16</v>
      </c>
      <c r="D12" s="116" t="s">
        <v>17</v>
      </c>
      <c r="E12" s="113" t="s">
        <v>18</v>
      </c>
      <c r="F12" s="114"/>
      <c r="G12" s="114"/>
      <c r="H12" s="114"/>
      <c r="I12" s="114"/>
      <c r="J12" s="114"/>
      <c r="K12" s="115"/>
      <c r="L12" s="4" t="s">
        <v>22</v>
      </c>
    </row>
    <row r="13" spans="2:12" ht="19.5" customHeight="1" x14ac:dyDescent="0.25">
      <c r="B13" s="117"/>
      <c r="C13" s="117"/>
      <c r="D13" s="117"/>
      <c r="E13" s="6" t="s">
        <v>19</v>
      </c>
      <c r="F13" s="6" t="s">
        <v>20</v>
      </c>
      <c r="G13" s="30" t="s">
        <v>21</v>
      </c>
      <c r="H13" s="30" t="s">
        <v>197</v>
      </c>
      <c r="I13" s="30" t="s">
        <v>198</v>
      </c>
      <c r="J13" s="30" t="s">
        <v>223</v>
      </c>
      <c r="K13" s="6" t="s">
        <v>240</v>
      </c>
      <c r="L13" s="7"/>
    </row>
    <row r="14" spans="2:12" ht="67.5" customHeight="1" x14ac:dyDescent="0.25">
      <c r="B14" s="10" t="s">
        <v>23</v>
      </c>
      <c r="D14" s="81" t="s">
        <v>182</v>
      </c>
      <c r="E14" s="86"/>
      <c r="F14" s="86"/>
      <c r="G14" s="86"/>
      <c r="H14" s="86"/>
      <c r="I14" s="86"/>
      <c r="J14" s="86"/>
      <c r="K14" s="82"/>
      <c r="L14" s="36" t="s">
        <v>185</v>
      </c>
    </row>
    <row r="15" spans="2:12" ht="15.75" x14ac:dyDescent="0.25">
      <c r="B15" s="5"/>
      <c r="C15" s="5"/>
      <c r="D15" s="5" t="s">
        <v>24</v>
      </c>
      <c r="E15" s="23">
        <f>E23+E31</f>
        <v>0</v>
      </c>
      <c r="F15" s="23">
        <f t="shared" ref="F15:K15" si="0">F23+F31</f>
        <v>0</v>
      </c>
      <c r="G15" s="23">
        <f t="shared" si="0"/>
        <v>0</v>
      </c>
      <c r="H15" s="23">
        <f t="shared" si="0"/>
        <v>0</v>
      </c>
      <c r="I15" s="23">
        <f t="shared" si="0"/>
        <v>0</v>
      </c>
      <c r="J15" s="23">
        <f t="shared" si="0"/>
        <v>0</v>
      </c>
      <c r="K15" s="23">
        <f t="shared" si="0"/>
        <v>0</v>
      </c>
      <c r="L15" s="5"/>
    </row>
    <row r="16" spans="2:12" ht="31.5" x14ac:dyDescent="0.25">
      <c r="B16" s="5"/>
      <c r="C16" s="5"/>
      <c r="D16" s="9" t="s">
        <v>25</v>
      </c>
      <c r="E16" s="23">
        <f t="shared" ref="E16:K18" si="1">E24+E32</f>
        <v>0</v>
      </c>
      <c r="F16" s="23">
        <f t="shared" si="1"/>
        <v>0</v>
      </c>
      <c r="G16" s="23">
        <f t="shared" si="1"/>
        <v>0</v>
      </c>
      <c r="H16" s="23">
        <f t="shared" si="1"/>
        <v>0</v>
      </c>
      <c r="I16" s="23">
        <f t="shared" si="1"/>
        <v>0</v>
      </c>
      <c r="J16" s="23">
        <f t="shared" si="1"/>
        <v>0</v>
      </c>
      <c r="K16" s="23">
        <f t="shared" si="1"/>
        <v>0</v>
      </c>
      <c r="L16" s="5"/>
    </row>
    <row r="17" spans="2:17" ht="31.5" x14ac:dyDescent="0.25">
      <c r="B17" s="5"/>
      <c r="C17" s="5"/>
      <c r="D17" s="9" t="s">
        <v>26</v>
      </c>
      <c r="E17" s="23">
        <f t="shared" si="1"/>
        <v>0</v>
      </c>
      <c r="F17" s="23">
        <f t="shared" si="1"/>
        <v>0</v>
      </c>
      <c r="G17" s="23">
        <f t="shared" si="1"/>
        <v>0</v>
      </c>
      <c r="H17" s="23">
        <f t="shared" si="1"/>
        <v>0</v>
      </c>
      <c r="I17" s="23">
        <f t="shared" si="1"/>
        <v>0</v>
      </c>
      <c r="J17" s="23">
        <f t="shared" si="1"/>
        <v>0</v>
      </c>
      <c r="K17" s="23">
        <f t="shared" si="1"/>
        <v>0</v>
      </c>
      <c r="L17" s="5"/>
    </row>
    <row r="18" spans="2:17" ht="15.75" x14ac:dyDescent="0.25">
      <c r="B18" s="5"/>
      <c r="C18" s="5"/>
      <c r="D18" s="5" t="s">
        <v>27</v>
      </c>
      <c r="E18" s="23">
        <f t="shared" si="1"/>
        <v>285150</v>
      </c>
      <c r="F18" s="23">
        <f t="shared" si="1"/>
        <v>350150</v>
      </c>
      <c r="G18" s="23">
        <f t="shared" si="1"/>
        <v>350150</v>
      </c>
      <c r="H18" s="23">
        <f t="shared" si="1"/>
        <v>385165</v>
      </c>
      <c r="I18" s="23">
        <f>I26+I34</f>
        <v>423681.5</v>
      </c>
      <c r="J18" s="23">
        <f t="shared" si="1"/>
        <v>466049.65</v>
      </c>
      <c r="K18" s="23">
        <f t="shared" si="1"/>
        <v>512654.66499999998</v>
      </c>
      <c r="L18" s="5"/>
    </row>
    <row r="19" spans="2:17" ht="47.25" x14ac:dyDescent="0.25">
      <c r="B19" s="5"/>
      <c r="C19" s="5"/>
      <c r="D19" s="9" t="s">
        <v>28</v>
      </c>
      <c r="E19" s="24">
        <f>E16++E17+E18</f>
        <v>285150</v>
      </c>
      <c r="F19" s="24">
        <f t="shared" ref="F19:J19" si="2">F16++F17+F18</f>
        <v>350150</v>
      </c>
      <c r="G19" s="24">
        <f t="shared" si="2"/>
        <v>350150</v>
      </c>
      <c r="H19" s="24">
        <f t="shared" si="2"/>
        <v>385165</v>
      </c>
      <c r="I19" s="24">
        <f t="shared" si="2"/>
        <v>423681.5</v>
      </c>
      <c r="J19" s="24">
        <f t="shared" si="2"/>
        <v>466049.65</v>
      </c>
      <c r="K19" s="24">
        <f>K16+K17+K18</f>
        <v>512654.66499999998</v>
      </c>
      <c r="L19" s="5"/>
    </row>
    <row r="20" spans="2:17" ht="15.75" x14ac:dyDescent="0.25">
      <c r="B20" s="5"/>
      <c r="C20" s="5"/>
      <c r="D20" s="8" t="s">
        <v>29</v>
      </c>
      <c r="E20" s="23"/>
      <c r="F20" s="23"/>
      <c r="G20" s="23"/>
      <c r="H20" s="31"/>
      <c r="I20" s="31"/>
      <c r="J20" s="31"/>
      <c r="K20" s="23"/>
      <c r="L20" s="5"/>
    </row>
    <row r="21" spans="2:17" ht="15.75" x14ac:dyDescent="0.25">
      <c r="B21" s="5"/>
      <c r="C21" s="5"/>
      <c r="D21" s="8" t="s">
        <v>30</v>
      </c>
      <c r="E21" s="23">
        <f>E18</f>
        <v>285150</v>
      </c>
      <c r="F21" s="23">
        <f t="shared" ref="F21:K21" si="3">F18</f>
        <v>350150</v>
      </c>
      <c r="G21" s="23">
        <f t="shared" si="3"/>
        <v>350150</v>
      </c>
      <c r="H21" s="23">
        <f t="shared" si="3"/>
        <v>385165</v>
      </c>
      <c r="I21" s="23">
        <f t="shared" si="3"/>
        <v>423681.5</v>
      </c>
      <c r="J21" s="23">
        <f t="shared" si="3"/>
        <v>466049.65</v>
      </c>
      <c r="K21" s="23">
        <f t="shared" si="3"/>
        <v>512654.66499999998</v>
      </c>
      <c r="L21" s="5"/>
    </row>
    <row r="22" spans="2:17" ht="50.25" customHeight="1" x14ac:dyDescent="0.25">
      <c r="B22" s="5"/>
      <c r="C22" s="5"/>
      <c r="D22" s="110" t="s">
        <v>129</v>
      </c>
      <c r="E22" s="111"/>
      <c r="F22" s="111"/>
      <c r="G22" s="111"/>
      <c r="H22" s="111"/>
      <c r="I22" s="111"/>
      <c r="J22" s="111"/>
      <c r="K22" s="112"/>
      <c r="L22" s="36" t="s">
        <v>186</v>
      </c>
    </row>
    <row r="23" spans="2:17" ht="15.75" x14ac:dyDescent="0.25">
      <c r="B23" s="5"/>
      <c r="C23" s="5"/>
      <c r="D23" s="5" t="s">
        <v>24</v>
      </c>
      <c r="E23" s="5"/>
      <c r="F23" s="5"/>
      <c r="G23" s="5"/>
      <c r="H23" s="33"/>
      <c r="I23" s="33"/>
      <c r="J23" s="33"/>
      <c r="K23" s="5"/>
      <c r="L23" s="5"/>
    </row>
    <row r="24" spans="2:17" ht="31.5" x14ac:dyDescent="0.25">
      <c r="B24" s="5"/>
      <c r="C24" s="5"/>
      <c r="D24" s="9" t="s">
        <v>25</v>
      </c>
      <c r="E24" s="5"/>
      <c r="F24" s="5"/>
      <c r="G24" s="5"/>
      <c r="H24" s="33"/>
      <c r="I24" s="33"/>
      <c r="J24" s="33"/>
      <c r="K24" s="5"/>
      <c r="L24" s="5"/>
    </row>
    <row r="25" spans="2:17" ht="31.5" x14ac:dyDescent="0.25">
      <c r="B25" s="5"/>
      <c r="C25" s="5"/>
      <c r="D25" s="9" t="s">
        <v>26</v>
      </c>
      <c r="E25" s="5"/>
      <c r="F25" s="5"/>
      <c r="G25" s="5"/>
      <c r="H25" s="33"/>
      <c r="I25" s="33"/>
      <c r="J25" s="33"/>
      <c r="K25" s="5"/>
      <c r="L25" s="5"/>
    </row>
    <row r="26" spans="2:17" ht="15.75" x14ac:dyDescent="0.25">
      <c r="B26" s="5"/>
      <c r="C26" s="5"/>
      <c r="D26" s="5" t="s">
        <v>27</v>
      </c>
      <c r="E26" s="23">
        <v>120136.3</v>
      </c>
      <c r="F26" s="23">
        <v>141389.79999999999</v>
      </c>
      <c r="G26" s="23">
        <v>141389.79999999999</v>
      </c>
      <c r="H26" s="26">
        <f>(G26*10%)+141389.8</f>
        <v>155528.78</v>
      </c>
      <c r="I26" s="26">
        <f>(H26*10%)+155528.8</f>
        <v>171081.67799999999</v>
      </c>
      <c r="J26" s="26">
        <f>(I26*10%)+171081.7</f>
        <v>188189.86780000001</v>
      </c>
      <c r="K26" s="26">
        <f>(J26*10%)+188189.9</f>
        <v>207008.88678</v>
      </c>
      <c r="L26" s="5"/>
      <c r="N26" s="61"/>
      <c r="P26" s="66"/>
      <c r="Q26" s="27"/>
    </row>
    <row r="27" spans="2:17" ht="47.25" x14ac:dyDescent="0.25">
      <c r="B27" s="5"/>
      <c r="C27" s="5"/>
      <c r="D27" s="9" t="s">
        <v>132</v>
      </c>
      <c r="E27" s="24">
        <f>E26</f>
        <v>120136.3</v>
      </c>
      <c r="F27" s="24">
        <f t="shared" ref="F27:K27" si="4">F26</f>
        <v>141389.79999999999</v>
      </c>
      <c r="G27" s="24">
        <f t="shared" si="4"/>
        <v>141389.79999999999</v>
      </c>
      <c r="H27" s="32">
        <f t="shared" si="4"/>
        <v>155528.78</v>
      </c>
      <c r="I27" s="32">
        <f t="shared" si="4"/>
        <v>171081.67799999999</v>
      </c>
      <c r="J27" s="32">
        <f t="shared" si="4"/>
        <v>188189.86780000001</v>
      </c>
      <c r="K27" s="24">
        <f t="shared" si="4"/>
        <v>207008.88678</v>
      </c>
      <c r="L27" s="5"/>
      <c r="P27" s="66"/>
      <c r="Q27" s="27"/>
    </row>
    <row r="28" spans="2:17" ht="15.75" x14ac:dyDescent="0.25">
      <c r="B28" s="5"/>
      <c r="C28" s="5"/>
      <c r="D28" s="8" t="s">
        <v>29</v>
      </c>
      <c r="E28" s="5"/>
      <c r="F28" s="5"/>
      <c r="G28" s="5"/>
      <c r="H28" s="33"/>
      <c r="I28" s="33"/>
      <c r="J28" s="33"/>
      <c r="K28" s="5"/>
      <c r="L28" s="5"/>
      <c r="P28" s="66"/>
      <c r="Q28" s="27"/>
    </row>
    <row r="29" spans="2:17" ht="15.75" x14ac:dyDescent="0.25">
      <c r="B29" s="5"/>
      <c r="C29" s="5"/>
      <c r="D29" s="8" t="s">
        <v>30</v>
      </c>
      <c r="E29" s="23">
        <f>E26</f>
        <v>120136.3</v>
      </c>
      <c r="F29" s="23">
        <f>F26</f>
        <v>141389.79999999999</v>
      </c>
      <c r="G29" s="23">
        <f t="shared" ref="G29:K29" si="5">G26</f>
        <v>141389.79999999999</v>
      </c>
      <c r="H29" s="23">
        <f t="shared" si="5"/>
        <v>155528.78</v>
      </c>
      <c r="I29" s="23">
        <f t="shared" si="5"/>
        <v>171081.67799999999</v>
      </c>
      <c r="J29" s="23">
        <f t="shared" si="5"/>
        <v>188189.86780000001</v>
      </c>
      <c r="K29" s="23">
        <f t="shared" si="5"/>
        <v>207008.88678</v>
      </c>
      <c r="L29" s="5"/>
      <c r="P29" s="66"/>
      <c r="Q29" s="27"/>
    </row>
    <row r="30" spans="2:17" ht="46.5" customHeight="1" x14ac:dyDescent="0.25">
      <c r="B30" s="5"/>
      <c r="C30" s="5"/>
      <c r="D30" s="110" t="s">
        <v>130</v>
      </c>
      <c r="E30" s="111"/>
      <c r="F30" s="111"/>
      <c r="G30" s="111"/>
      <c r="H30" s="111"/>
      <c r="I30" s="111"/>
      <c r="J30" s="111"/>
      <c r="K30" s="112"/>
      <c r="L30" s="36" t="s">
        <v>188</v>
      </c>
      <c r="P30" s="66"/>
      <c r="Q30" s="27"/>
    </row>
    <row r="31" spans="2:17" ht="15.75" x14ac:dyDescent="0.25">
      <c r="B31" s="5"/>
      <c r="C31" s="5"/>
      <c r="D31" s="5" t="s">
        <v>24</v>
      </c>
      <c r="E31" s="5"/>
      <c r="F31" s="5"/>
      <c r="G31" s="5"/>
      <c r="H31" s="33"/>
      <c r="I31" s="33"/>
      <c r="J31" s="33"/>
      <c r="K31" s="5"/>
      <c r="L31" s="5"/>
      <c r="P31" s="66"/>
      <c r="Q31" s="27"/>
    </row>
    <row r="32" spans="2:17" ht="31.5" x14ac:dyDescent="0.25">
      <c r="B32" s="5"/>
      <c r="C32" s="5"/>
      <c r="D32" s="9" t="s">
        <v>25</v>
      </c>
      <c r="E32" s="5"/>
      <c r="F32" s="5"/>
      <c r="G32" s="5"/>
      <c r="H32" s="33"/>
      <c r="I32" s="33"/>
      <c r="J32" s="33"/>
      <c r="K32" s="5"/>
      <c r="L32" s="5"/>
      <c r="P32" s="66"/>
      <c r="Q32" s="27"/>
    </row>
    <row r="33" spans="2:17" ht="31.5" x14ac:dyDescent="0.25">
      <c r="B33" s="5"/>
      <c r="C33" s="5"/>
      <c r="D33" s="9" t="s">
        <v>26</v>
      </c>
      <c r="E33" s="5"/>
      <c r="F33" s="5"/>
      <c r="G33" s="5"/>
      <c r="H33" s="33"/>
      <c r="I33" s="33"/>
      <c r="J33" s="33"/>
      <c r="K33" s="5"/>
      <c r="L33" s="5"/>
      <c r="P33" s="66"/>
      <c r="Q33" s="27"/>
    </row>
    <row r="34" spans="2:17" ht="15.75" x14ac:dyDescent="0.25">
      <c r="B34" s="5"/>
      <c r="C34" s="5"/>
      <c r="D34" s="5" t="s">
        <v>27</v>
      </c>
      <c r="E34" s="23">
        <v>165013.70000000001</v>
      </c>
      <c r="F34" s="23">
        <v>208760.2</v>
      </c>
      <c r="G34" s="23">
        <v>208760.2</v>
      </c>
      <c r="H34" s="26">
        <f>(G34*10%)+208760.2</f>
        <v>229636.22000000003</v>
      </c>
      <c r="I34" s="26">
        <f>(H34*10%)+229636.2</f>
        <v>252599.82200000001</v>
      </c>
      <c r="J34" s="26">
        <f>(I34*10%)+252599.8</f>
        <v>277859.78220000002</v>
      </c>
      <c r="K34" s="26">
        <f>(J34*10%)+277859.8</f>
        <v>305645.77821999998</v>
      </c>
      <c r="L34" s="5"/>
      <c r="N34" s="61"/>
      <c r="P34" s="66"/>
      <c r="Q34" s="27"/>
    </row>
    <row r="35" spans="2:17" ht="47.25" x14ac:dyDescent="0.25">
      <c r="B35" s="5"/>
      <c r="C35" s="5"/>
      <c r="D35" s="9" t="s">
        <v>133</v>
      </c>
      <c r="E35" s="24">
        <f>E34</f>
        <v>165013.70000000001</v>
      </c>
      <c r="F35" s="24">
        <f t="shared" ref="F35:K35" si="6">F34</f>
        <v>208760.2</v>
      </c>
      <c r="G35" s="24">
        <f t="shared" si="6"/>
        <v>208760.2</v>
      </c>
      <c r="H35" s="32">
        <f t="shared" si="6"/>
        <v>229636.22000000003</v>
      </c>
      <c r="I35" s="32">
        <f t="shared" si="6"/>
        <v>252599.82200000001</v>
      </c>
      <c r="J35" s="32">
        <f t="shared" si="6"/>
        <v>277859.78220000002</v>
      </c>
      <c r="K35" s="24">
        <f t="shared" si="6"/>
        <v>305645.77821999998</v>
      </c>
      <c r="L35" s="5"/>
      <c r="P35" s="66"/>
      <c r="Q35" s="27"/>
    </row>
    <row r="36" spans="2:17" ht="15.75" x14ac:dyDescent="0.25">
      <c r="B36" s="5"/>
      <c r="C36" s="5"/>
      <c r="D36" s="8" t="s">
        <v>29</v>
      </c>
      <c r="E36" s="5"/>
      <c r="F36" s="5"/>
      <c r="G36" s="5"/>
      <c r="H36" s="33"/>
      <c r="I36" s="33"/>
      <c r="J36" s="33"/>
      <c r="K36" s="5"/>
      <c r="L36" s="5"/>
      <c r="P36" s="66"/>
      <c r="Q36" s="27"/>
    </row>
    <row r="37" spans="2:17" ht="15.75" x14ac:dyDescent="0.25">
      <c r="B37" s="5"/>
      <c r="C37" s="5"/>
      <c r="D37" s="8" t="s">
        <v>30</v>
      </c>
      <c r="E37" s="23">
        <f>E34</f>
        <v>165013.70000000001</v>
      </c>
      <c r="F37" s="23">
        <f t="shared" ref="F37:K37" si="7">F34</f>
        <v>208760.2</v>
      </c>
      <c r="G37" s="23">
        <f t="shared" si="7"/>
        <v>208760.2</v>
      </c>
      <c r="H37" s="23">
        <f t="shared" si="7"/>
        <v>229636.22000000003</v>
      </c>
      <c r="I37" s="23">
        <f t="shared" si="7"/>
        <v>252599.82200000001</v>
      </c>
      <c r="J37" s="23">
        <f t="shared" si="7"/>
        <v>277859.78220000002</v>
      </c>
      <c r="K37" s="23">
        <f t="shared" si="7"/>
        <v>305645.77821999998</v>
      </c>
      <c r="L37" s="5"/>
      <c r="P37" s="66"/>
      <c r="Q37" s="27"/>
    </row>
    <row r="38" spans="2:17" ht="51.75" customHeight="1" x14ac:dyDescent="0.25">
      <c r="B38" s="10" t="s">
        <v>31</v>
      </c>
      <c r="C38" s="5"/>
      <c r="D38" s="81" t="s">
        <v>187</v>
      </c>
      <c r="E38" s="86"/>
      <c r="F38" s="86"/>
      <c r="G38" s="86"/>
      <c r="H38" s="86"/>
      <c r="I38" s="86"/>
      <c r="J38" s="86"/>
      <c r="K38" s="82"/>
      <c r="L38" s="36" t="s">
        <v>189</v>
      </c>
      <c r="P38" s="66"/>
      <c r="Q38" s="27"/>
    </row>
    <row r="39" spans="2:17" ht="15.75" x14ac:dyDescent="0.25">
      <c r="B39" s="5"/>
      <c r="C39" s="5"/>
      <c r="D39" s="5" t="s">
        <v>24</v>
      </c>
      <c r="E39" s="25">
        <f>E47+E55+E63+E71+E79+E87+E95+E103+E111+E119+E127</f>
        <v>8122557.7999999998</v>
      </c>
      <c r="F39" s="25">
        <f t="shared" ref="F39:K39" si="8">F47+F55+F63+F71+F79+F87+F95+F103+F111+F119+F127</f>
        <v>10137081.199999999</v>
      </c>
      <c r="G39" s="25">
        <f>G47+G55+G63+G71+G79+G87+G95+G103+G111+G119+G127</f>
        <v>10869628.399999999</v>
      </c>
      <c r="H39" s="25">
        <f t="shared" si="8"/>
        <v>10997096.59</v>
      </c>
      <c r="I39" s="25">
        <f>I47+I55+I63+I71+I79+I87+I95+I103+I111+I119+I127</f>
        <v>12096806.258999998</v>
      </c>
      <c r="J39" s="25">
        <f t="shared" si="8"/>
        <v>13306486.8259</v>
      </c>
      <c r="K39" s="25">
        <f t="shared" si="8"/>
        <v>14637135.382590001</v>
      </c>
      <c r="L39" s="5"/>
      <c r="P39" s="66"/>
      <c r="Q39" s="27"/>
    </row>
    <row r="40" spans="2:17" ht="31.5" x14ac:dyDescent="0.25">
      <c r="B40" s="5"/>
      <c r="C40" s="5"/>
      <c r="D40" s="9" t="s">
        <v>25</v>
      </c>
      <c r="E40" s="25">
        <f t="shared" ref="E40:K42" si="9">E48+E56+E64+E72+E80+E88+E96+E104+E112+E120+E128</f>
        <v>503430.3</v>
      </c>
      <c r="F40" s="25">
        <f t="shared" si="9"/>
        <v>413494.69999999995</v>
      </c>
      <c r="G40" s="25">
        <f>G48+G56+G64+G72+G80+G88+G96+G104+G112+G120+G128</f>
        <v>444669.4</v>
      </c>
      <c r="H40" s="25">
        <f t="shared" ref="H40:K40" si="10">H48+H56+H64+H72+H80+H88+H96+H104+H112+H120+H128</f>
        <v>466902.9</v>
      </c>
      <c r="I40" s="25">
        <f t="shared" si="10"/>
        <v>513593.19</v>
      </c>
      <c r="J40" s="25">
        <f t="shared" si="10"/>
        <v>564952.51899999997</v>
      </c>
      <c r="K40" s="25">
        <f t="shared" si="10"/>
        <v>621447.75190000003</v>
      </c>
      <c r="L40" s="5"/>
      <c r="P40" s="66"/>
      <c r="Q40" s="27"/>
    </row>
    <row r="41" spans="2:17" ht="31.5" x14ac:dyDescent="0.25">
      <c r="B41" s="5"/>
      <c r="C41" s="5"/>
      <c r="D41" s="9" t="s">
        <v>26</v>
      </c>
      <c r="E41" s="25">
        <f t="shared" si="9"/>
        <v>0</v>
      </c>
      <c r="F41" s="25">
        <f t="shared" si="9"/>
        <v>0</v>
      </c>
      <c r="G41" s="25">
        <f t="shared" si="9"/>
        <v>0</v>
      </c>
      <c r="H41" s="25">
        <f t="shared" si="9"/>
        <v>0</v>
      </c>
      <c r="I41" s="25">
        <f t="shared" si="9"/>
        <v>0</v>
      </c>
      <c r="J41" s="25">
        <f t="shared" si="9"/>
        <v>0</v>
      </c>
      <c r="K41" s="25">
        <f t="shared" si="9"/>
        <v>0</v>
      </c>
      <c r="L41" s="5"/>
      <c r="P41" s="66"/>
      <c r="Q41" s="27"/>
    </row>
    <row r="42" spans="2:17" ht="15.75" x14ac:dyDescent="0.25">
      <c r="B42" s="5"/>
      <c r="C42" s="5"/>
      <c r="D42" s="5" t="s">
        <v>27</v>
      </c>
      <c r="E42" s="25">
        <f t="shared" si="9"/>
        <v>1922006</v>
      </c>
      <c r="F42" s="25">
        <f t="shared" si="9"/>
        <v>536990</v>
      </c>
      <c r="G42" s="25">
        <f>G50+G58+G66+G74+G82+G90+G98+G106+G114+G122+G130</f>
        <v>617538.5</v>
      </c>
      <c r="H42" s="25">
        <f t="shared" si="9"/>
        <v>710169.3</v>
      </c>
      <c r="I42" s="25">
        <f t="shared" si="9"/>
        <v>781186.2300000001</v>
      </c>
      <c r="J42" s="25">
        <f t="shared" si="9"/>
        <v>859304.82299999997</v>
      </c>
      <c r="K42" s="25">
        <f t="shared" si="9"/>
        <v>945235.28230000008</v>
      </c>
      <c r="L42" s="5"/>
      <c r="P42" s="66"/>
      <c r="Q42" s="27"/>
    </row>
    <row r="43" spans="2:17" ht="63" x14ac:dyDescent="0.25">
      <c r="B43" s="5"/>
      <c r="C43" s="5"/>
      <c r="D43" s="9" t="s">
        <v>135</v>
      </c>
      <c r="E43" s="24">
        <f>E39+E42+E40</f>
        <v>10547994.100000001</v>
      </c>
      <c r="F43" s="24">
        <f t="shared" ref="F43:K43" si="11">F39+F42+F40</f>
        <v>11087565.899999999</v>
      </c>
      <c r="G43" s="24">
        <f t="shared" si="11"/>
        <v>11931836.299999999</v>
      </c>
      <c r="H43" s="24">
        <f t="shared" si="11"/>
        <v>12174168.790000001</v>
      </c>
      <c r="I43" s="24">
        <f t="shared" si="11"/>
        <v>13391585.678999998</v>
      </c>
      <c r="J43" s="24">
        <f t="shared" si="11"/>
        <v>14730744.1679</v>
      </c>
      <c r="K43" s="24">
        <f t="shared" si="11"/>
        <v>16203818.416790003</v>
      </c>
      <c r="L43" s="5"/>
      <c r="N43" s="27"/>
      <c r="P43" s="66"/>
      <c r="Q43" s="27"/>
    </row>
    <row r="44" spans="2:17" ht="15.75" x14ac:dyDescent="0.25">
      <c r="B44" s="5"/>
      <c r="C44" s="5"/>
      <c r="D44" s="8" t="s">
        <v>29</v>
      </c>
      <c r="E44" s="25">
        <f>E39</f>
        <v>8122557.7999999998</v>
      </c>
      <c r="F44" s="25">
        <f t="shared" ref="F44:K44" si="12">F39</f>
        <v>10137081.199999999</v>
      </c>
      <c r="G44" s="25">
        <f t="shared" si="12"/>
        <v>10869628.399999999</v>
      </c>
      <c r="H44" s="25">
        <f t="shared" si="12"/>
        <v>10997096.59</v>
      </c>
      <c r="I44" s="25">
        <f t="shared" si="12"/>
        <v>12096806.258999998</v>
      </c>
      <c r="J44" s="25">
        <f t="shared" si="12"/>
        <v>13306486.8259</v>
      </c>
      <c r="K44" s="25">
        <f t="shared" si="12"/>
        <v>14637135.382590001</v>
      </c>
      <c r="L44" s="5"/>
      <c r="P44" s="66"/>
      <c r="Q44" s="27"/>
    </row>
    <row r="45" spans="2:17" ht="15.75" x14ac:dyDescent="0.25">
      <c r="B45" s="5"/>
      <c r="C45" s="5"/>
      <c r="D45" s="8" t="s">
        <v>30</v>
      </c>
      <c r="E45" s="25">
        <f>E42+E41+E40</f>
        <v>2425436.2999999998</v>
      </c>
      <c r="F45" s="25">
        <f t="shared" ref="F45:K45" si="13">F42+F41+F40</f>
        <v>950484.7</v>
      </c>
      <c r="G45" s="25">
        <f t="shared" si="13"/>
        <v>1062207.8999999999</v>
      </c>
      <c r="H45" s="25">
        <f t="shared" si="13"/>
        <v>1177072.2000000002</v>
      </c>
      <c r="I45" s="25">
        <f t="shared" si="13"/>
        <v>1294779.4200000002</v>
      </c>
      <c r="J45" s="25">
        <f t="shared" si="13"/>
        <v>1424257.3419999999</v>
      </c>
      <c r="K45" s="25">
        <f t="shared" si="13"/>
        <v>1566683.0342000001</v>
      </c>
      <c r="L45" s="5"/>
      <c r="P45" s="66"/>
      <c r="Q45" s="27"/>
    </row>
    <row r="46" spans="2:17" ht="48" customHeight="1" x14ac:dyDescent="0.25">
      <c r="B46" s="5"/>
      <c r="C46" s="5"/>
      <c r="D46" s="110" t="s">
        <v>131</v>
      </c>
      <c r="E46" s="111"/>
      <c r="F46" s="111"/>
      <c r="G46" s="111"/>
      <c r="H46" s="111"/>
      <c r="I46" s="111"/>
      <c r="J46" s="111"/>
      <c r="K46" s="112"/>
      <c r="L46" s="36" t="s">
        <v>199</v>
      </c>
      <c r="P46" s="66"/>
      <c r="Q46" s="27"/>
    </row>
    <row r="47" spans="2:17" ht="15.75" x14ac:dyDescent="0.25">
      <c r="B47" s="5"/>
      <c r="C47" s="5"/>
      <c r="D47" s="5" t="s">
        <v>24</v>
      </c>
      <c r="E47" s="23">
        <v>500000</v>
      </c>
      <c r="F47" s="23">
        <v>842016.8</v>
      </c>
      <c r="G47" s="23">
        <v>842016.8</v>
      </c>
      <c r="H47" s="26">
        <f>(G47*10%)+842016.8</f>
        <v>926218.4800000001</v>
      </c>
      <c r="I47" s="26">
        <f>(H47*10%)+926218.5</f>
        <v>1018840.348</v>
      </c>
      <c r="J47" s="26">
        <f>(I47*10%)+1018840.3</f>
        <v>1120724.3348000001</v>
      </c>
      <c r="K47" s="26">
        <f>(J47*10%)+1120724.3</f>
        <v>1232796.7334799999</v>
      </c>
      <c r="L47" s="5"/>
      <c r="P47" s="66"/>
      <c r="Q47" s="27"/>
    </row>
    <row r="48" spans="2:17" ht="31.5" x14ac:dyDescent="0.25">
      <c r="B48" s="5"/>
      <c r="C48" s="5"/>
      <c r="D48" s="9" t="s">
        <v>25</v>
      </c>
      <c r="E48" s="5"/>
      <c r="F48" s="5"/>
      <c r="G48" s="5"/>
      <c r="H48" s="33"/>
      <c r="I48" s="33"/>
      <c r="J48" s="33"/>
      <c r="K48" s="5"/>
      <c r="L48" s="5"/>
      <c r="P48" s="66"/>
      <c r="Q48" s="27"/>
    </row>
    <row r="49" spans="2:17" ht="31.5" x14ac:dyDescent="0.25">
      <c r="B49" s="5"/>
      <c r="C49" s="5"/>
      <c r="D49" s="9" t="s">
        <v>26</v>
      </c>
      <c r="E49" s="5"/>
      <c r="F49" s="5"/>
      <c r="G49" s="5"/>
      <c r="H49" s="33"/>
      <c r="I49" s="33"/>
      <c r="J49" s="33"/>
      <c r="K49" s="5"/>
      <c r="L49" s="5"/>
      <c r="P49" s="66"/>
      <c r="Q49" s="27"/>
    </row>
    <row r="50" spans="2:17" ht="15.75" x14ac:dyDescent="0.25">
      <c r="B50" s="5"/>
      <c r="C50" s="5"/>
      <c r="D50" s="5" t="s">
        <v>27</v>
      </c>
      <c r="E50" s="23"/>
      <c r="F50" s="23"/>
      <c r="G50" s="23"/>
      <c r="H50" s="31"/>
      <c r="I50" s="31"/>
      <c r="J50" s="31"/>
      <c r="K50" s="23"/>
      <c r="L50" s="5"/>
      <c r="P50" s="66"/>
      <c r="Q50" s="27"/>
    </row>
    <row r="51" spans="2:17" ht="63" x14ac:dyDescent="0.25">
      <c r="B51" s="5"/>
      <c r="C51" s="5"/>
      <c r="D51" s="9" t="s">
        <v>134</v>
      </c>
      <c r="E51" s="24">
        <f>E52+E53</f>
        <v>500000</v>
      </c>
      <c r="F51" s="24">
        <f>F52+F53</f>
        <v>842016.8</v>
      </c>
      <c r="G51" s="24">
        <f t="shared" ref="G51:K51" si="14">G52+G53</f>
        <v>842016.8</v>
      </c>
      <c r="H51" s="24">
        <f t="shared" si="14"/>
        <v>926218.4800000001</v>
      </c>
      <c r="I51" s="24">
        <f t="shared" si="14"/>
        <v>1018840.348</v>
      </c>
      <c r="J51" s="24">
        <f t="shared" si="14"/>
        <v>1120724.3348000001</v>
      </c>
      <c r="K51" s="24">
        <f t="shared" si="14"/>
        <v>1232796.7334799999</v>
      </c>
      <c r="L51" s="5"/>
      <c r="P51" s="66"/>
      <c r="Q51" s="27"/>
    </row>
    <row r="52" spans="2:17" ht="15.75" x14ac:dyDescent="0.25">
      <c r="B52" s="5"/>
      <c r="C52" s="5"/>
      <c r="D52" s="8" t="s">
        <v>29</v>
      </c>
      <c r="E52" s="23">
        <f t="shared" ref="E52:K52" si="15">E47</f>
        <v>500000</v>
      </c>
      <c r="F52" s="23">
        <f t="shared" si="15"/>
        <v>842016.8</v>
      </c>
      <c r="G52" s="23">
        <f t="shared" si="15"/>
        <v>842016.8</v>
      </c>
      <c r="H52" s="23">
        <f t="shared" si="15"/>
        <v>926218.4800000001</v>
      </c>
      <c r="I52" s="23">
        <f t="shared" si="15"/>
        <v>1018840.348</v>
      </c>
      <c r="J52" s="23">
        <f t="shared" si="15"/>
        <v>1120724.3348000001</v>
      </c>
      <c r="K52" s="23">
        <f t="shared" si="15"/>
        <v>1232796.7334799999</v>
      </c>
      <c r="L52" s="5"/>
      <c r="P52" s="66"/>
      <c r="Q52" s="27"/>
    </row>
    <row r="53" spans="2:17" ht="15.75" x14ac:dyDescent="0.25">
      <c r="B53" s="5"/>
      <c r="C53" s="5"/>
      <c r="D53" s="8" t="s">
        <v>30</v>
      </c>
      <c r="E53" s="23"/>
      <c r="F53" s="23"/>
      <c r="G53" s="23"/>
      <c r="H53" s="31"/>
      <c r="I53" s="31"/>
      <c r="J53" s="31"/>
      <c r="K53" s="23"/>
      <c r="L53" s="5"/>
      <c r="P53" s="66"/>
      <c r="Q53" s="27"/>
    </row>
    <row r="54" spans="2:17" ht="122.25" customHeight="1" x14ac:dyDescent="0.25">
      <c r="B54" s="5"/>
      <c r="C54" s="5"/>
      <c r="D54" s="110" t="s">
        <v>136</v>
      </c>
      <c r="E54" s="111"/>
      <c r="F54" s="111"/>
      <c r="G54" s="111"/>
      <c r="H54" s="111"/>
      <c r="I54" s="111"/>
      <c r="J54" s="111"/>
      <c r="K54" s="112"/>
      <c r="L54" s="36" t="s">
        <v>200</v>
      </c>
      <c r="P54" s="66"/>
      <c r="Q54" s="27"/>
    </row>
    <row r="55" spans="2:17" ht="15.75" x14ac:dyDescent="0.25">
      <c r="B55" s="5"/>
      <c r="C55" s="5"/>
      <c r="D55" s="5" t="s">
        <v>24</v>
      </c>
      <c r="E55" s="23">
        <f>E60</f>
        <v>3068258.1</v>
      </c>
      <c r="F55" s="23">
        <f>F60</f>
        <v>8351321.5999999996</v>
      </c>
      <c r="G55" s="23">
        <f t="shared" ref="G55:K55" si="16">G60</f>
        <v>9262677.1999999993</v>
      </c>
      <c r="H55" s="23">
        <f t="shared" si="16"/>
        <v>9428101.1999999993</v>
      </c>
      <c r="I55" s="23">
        <f t="shared" si="16"/>
        <v>10370911.319999998</v>
      </c>
      <c r="J55" s="23">
        <f t="shared" si="16"/>
        <v>11408002.432</v>
      </c>
      <c r="K55" s="23">
        <f t="shared" si="16"/>
        <v>12548802.643200001</v>
      </c>
      <c r="L55" s="5"/>
      <c r="N55" s="61"/>
      <c r="P55" s="66"/>
      <c r="Q55" s="27"/>
    </row>
    <row r="56" spans="2:17" ht="31.5" x14ac:dyDescent="0.25">
      <c r="B56" s="5"/>
      <c r="C56" s="5"/>
      <c r="D56" s="9" t="s">
        <v>25</v>
      </c>
      <c r="E56" s="5"/>
      <c r="F56" s="5"/>
      <c r="G56" s="5"/>
      <c r="H56" s="5"/>
      <c r="I56" s="5"/>
      <c r="J56" s="5"/>
      <c r="K56" s="5"/>
      <c r="L56" s="5"/>
      <c r="P56" s="66"/>
      <c r="Q56" s="27"/>
    </row>
    <row r="57" spans="2:17" ht="31.5" x14ac:dyDescent="0.25">
      <c r="B57" s="5"/>
      <c r="C57" s="5"/>
      <c r="D57" s="9" t="s">
        <v>26</v>
      </c>
      <c r="E57" s="5"/>
      <c r="F57" s="5"/>
      <c r="G57" s="5"/>
      <c r="H57" s="5"/>
      <c r="I57" s="5"/>
      <c r="J57" s="5"/>
      <c r="K57" s="5"/>
      <c r="L57" s="5"/>
      <c r="P57" s="66"/>
      <c r="Q57" s="27"/>
    </row>
    <row r="58" spans="2:17" ht="15.75" x14ac:dyDescent="0.25">
      <c r="B58" s="5"/>
      <c r="C58" s="5"/>
      <c r="D58" s="5" t="s">
        <v>27</v>
      </c>
      <c r="E58" s="23">
        <f>E61</f>
        <v>1450363.9</v>
      </c>
      <c r="F58" s="23">
        <f>F61</f>
        <v>0</v>
      </c>
      <c r="G58" s="23">
        <f t="shared" ref="G58:K58" si="17">G61</f>
        <v>0</v>
      </c>
      <c r="H58" s="23">
        <f t="shared" si="17"/>
        <v>0</v>
      </c>
      <c r="I58" s="23">
        <f t="shared" si="17"/>
        <v>0</v>
      </c>
      <c r="J58" s="23">
        <f t="shared" si="17"/>
        <v>0</v>
      </c>
      <c r="K58" s="23">
        <f t="shared" si="17"/>
        <v>0</v>
      </c>
      <c r="L58" s="5"/>
      <c r="N58" s="62"/>
      <c r="P58" s="66"/>
      <c r="Q58" s="27"/>
    </row>
    <row r="59" spans="2:17" ht="94.5" x14ac:dyDescent="0.25">
      <c r="B59" s="5"/>
      <c r="C59" s="5"/>
      <c r="D59" s="9" t="s">
        <v>137</v>
      </c>
      <c r="E59" s="24">
        <f>E60+E61</f>
        <v>4518622</v>
      </c>
      <c r="F59" s="24">
        <f>F60+F61</f>
        <v>8351321.5999999996</v>
      </c>
      <c r="G59" s="24">
        <f>G60+G61</f>
        <v>9262677.1999999993</v>
      </c>
      <c r="H59" s="32">
        <f t="shared" ref="H59:K59" si="18">H60+H61</f>
        <v>9428101.1999999993</v>
      </c>
      <c r="I59" s="32">
        <f t="shared" si="18"/>
        <v>10370911.319999998</v>
      </c>
      <c r="J59" s="32">
        <f t="shared" si="18"/>
        <v>11408002.432</v>
      </c>
      <c r="K59" s="24">
        <f t="shared" si="18"/>
        <v>12548802.643200001</v>
      </c>
      <c r="L59" s="5"/>
      <c r="P59" s="66"/>
      <c r="Q59" s="27"/>
    </row>
    <row r="60" spans="2:17" ht="15.75" x14ac:dyDescent="0.25">
      <c r="B60" s="5"/>
      <c r="C60" s="5"/>
      <c r="D60" s="8" t="s">
        <v>29</v>
      </c>
      <c r="E60" s="23">
        <v>3068258.1</v>
      </c>
      <c r="F60" s="23">
        <v>8351321.5999999996</v>
      </c>
      <c r="G60" s="23">
        <v>9262677.1999999993</v>
      </c>
      <c r="H60" s="23">
        <v>9428101.1999999993</v>
      </c>
      <c r="I60" s="26">
        <f>(H60*10%)+9428101.2</f>
        <v>10370911.319999998</v>
      </c>
      <c r="J60" s="26">
        <f>(I60*10%)+10370911.3</f>
        <v>11408002.432</v>
      </c>
      <c r="K60" s="26">
        <f>(J60*10%)+11408002.4</f>
        <v>12548802.643200001</v>
      </c>
      <c r="L60" s="5"/>
      <c r="P60" s="66"/>
      <c r="Q60" s="27"/>
    </row>
    <row r="61" spans="2:17" ht="15.75" x14ac:dyDescent="0.25">
      <c r="B61" s="5"/>
      <c r="C61" s="5"/>
      <c r="D61" s="8" t="s">
        <v>30</v>
      </c>
      <c r="E61" s="23">
        <v>1450363.9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5"/>
      <c r="P61" s="66"/>
      <c r="Q61" s="27"/>
    </row>
    <row r="62" spans="2:17" ht="84" customHeight="1" x14ac:dyDescent="0.25">
      <c r="B62" s="5"/>
      <c r="C62" s="5"/>
      <c r="D62" s="110" t="s">
        <v>138</v>
      </c>
      <c r="E62" s="111"/>
      <c r="F62" s="111"/>
      <c r="G62" s="111"/>
      <c r="H62" s="111"/>
      <c r="I62" s="111"/>
      <c r="J62" s="111"/>
      <c r="K62" s="112"/>
      <c r="L62" s="36" t="s">
        <v>201</v>
      </c>
      <c r="P62" s="66"/>
      <c r="Q62" s="27"/>
    </row>
    <row r="63" spans="2:17" ht="15.75" x14ac:dyDescent="0.25">
      <c r="B63" s="5"/>
      <c r="C63" s="5"/>
      <c r="D63" s="5" t="s">
        <v>24</v>
      </c>
      <c r="E63" s="23">
        <v>300000</v>
      </c>
      <c r="F63" s="23">
        <v>500899.7</v>
      </c>
      <c r="G63" s="23">
        <v>500899.7</v>
      </c>
      <c r="H63" s="23">
        <v>500899.7</v>
      </c>
      <c r="I63" s="26">
        <f>(H63*10%)+500899.7</f>
        <v>550989.67000000004</v>
      </c>
      <c r="J63" s="26">
        <f>(I63*10%)+550989.7</f>
        <v>606088.6669999999</v>
      </c>
      <c r="K63" s="26">
        <f>(J63*10%)+606088.7</f>
        <v>666697.56669999997</v>
      </c>
      <c r="L63" s="5"/>
      <c r="P63" s="66"/>
      <c r="Q63" s="27"/>
    </row>
    <row r="64" spans="2:17" ht="31.5" x14ac:dyDescent="0.25">
      <c r="B64" s="5"/>
      <c r="C64" s="5"/>
      <c r="D64" s="9" t="s">
        <v>25</v>
      </c>
      <c r="E64" s="5"/>
      <c r="F64" s="5"/>
      <c r="G64" s="5"/>
      <c r="H64" s="33"/>
      <c r="I64" s="33"/>
      <c r="J64" s="33"/>
      <c r="K64" s="5"/>
      <c r="L64" s="5"/>
      <c r="P64" s="66"/>
      <c r="Q64" s="27"/>
    </row>
    <row r="65" spans="2:17" ht="31.5" x14ac:dyDescent="0.25">
      <c r="B65" s="5"/>
      <c r="C65" s="5"/>
      <c r="D65" s="9" t="s">
        <v>26</v>
      </c>
      <c r="E65" s="5"/>
      <c r="F65" s="5"/>
      <c r="G65" s="5"/>
      <c r="H65" s="33"/>
      <c r="I65" s="33"/>
      <c r="J65" s="33"/>
      <c r="K65" s="5"/>
      <c r="L65" s="5"/>
      <c r="P65" s="66"/>
      <c r="Q65" s="27"/>
    </row>
    <row r="66" spans="2:17" ht="15.75" x14ac:dyDescent="0.25">
      <c r="B66" s="5"/>
      <c r="C66" s="5"/>
      <c r="D66" s="5" t="s">
        <v>27</v>
      </c>
      <c r="E66" s="23"/>
      <c r="F66" s="23"/>
      <c r="G66" s="23"/>
      <c r="H66" s="31"/>
      <c r="I66" s="31"/>
      <c r="J66" s="31"/>
      <c r="K66" s="23"/>
      <c r="L66" s="5"/>
      <c r="P66" s="66"/>
      <c r="Q66" s="27"/>
    </row>
    <row r="67" spans="2:17" ht="110.25" x14ac:dyDescent="0.25">
      <c r="B67" s="5"/>
      <c r="C67" s="5"/>
      <c r="D67" s="9" t="s">
        <v>139</v>
      </c>
      <c r="E67" s="24">
        <f>E68+E69</f>
        <v>300000</v>
      </c>
      <c r="F67" s="24">
        <f t="shared" ref="F67" si="19">F68+F69</f>
        <v>500899.7</v>
      </c>
      <c r="G67" s="24">
        <f t="shared" ref="G67" si="20">G68+G69</f>
        <v>500899.7</v>
      </c>
      <c r="H67" s="32">
        <f t="shared" ref="H67:J67" si="21">H68+H69</f>
        <v>500899.7</v>
      </c>
      <c r="I67" s="32">
        <f t="shared" si="21"/>
        <v>550989.67000000004</v>
      </c>
      <c r="J67" s="32">
        <f t="shared" si="21"/>
        <v>606088.6669999999</v>
      </c>
      <c r="K67" s="24">
        <f t="shared" ref="K67" si="22">K68+K69</f>
        <v>666697.56669999997</v>
      </c>
      <c r="L67" s="5"/>
      <c r="P67" s="66"/>
      <c r="Q67" s="27"/>
    </row>
    <row r="68" spans="2:17" ht="15.75" x14ac:dyDescent="0.25">
      <c r="B68" s="5"/>
      <c r="C68" s="5"/>
      <c r="D68" s="8" t="s">
        <v>29</v>
      </c>
      <c r="E68" s="23">
        <f>E63</f>
        <v>300000</v>
      </c>
      <c r="F68" s="23">
        <f t="shared" ref="F68:K68" si="23">F63</f>
        <v>500899.7</v>
      </c>
      <c r="G68" s="23">
        <f t="shared" si="23"/>
        <v>500899.7</v>
      </c>
      <c r="H68" s="23">
        <f>H63</f>
        <v>500899.7</v>
      </c>
      <c r="I68" s="23">
        <f t="shared" si="23"/>
        <v>550989.67000000004</v>
      </c>
      <c r="J68" s="23">
        <f t="shared" si="23"/>
        <v>606088.6669999999</v>
      </c>
      <c r="K68" s="23">
        <f t="shared" si="23"/>
        <v>666697.56669999997</v>
      </c>
      <c r="L68" s="5"/>
      <c r="P68" s="66"/>
      <c r="Q68" s="27"/>
    </row>
    <row r="69" spans="2:17" ht="15.75" x14ac:dyDescent="0.25">
      <c r="B69" s="5"/>
      <c r="C69" s="5"/>
      <c r="D69" s="8" t="s">
        <v>30</v>
      </c>
      <c r="E69" s="23"/>
      <c r="F69" s="23"/>
      <c r="G69" s="23"/>
      <c r="H69" s="31"/>
      <c r="I69" s="31"/>
      <c r="J69" s="31"/>
      <c r="K69" s="23"/>
      <c r="L69" s="5"/>
      <c r="P69" s="66"/>
      <c r="Q69" s="27"/>
    </row>
    <row r="70" spans="2:17" ht="47.25" customHeight="1" x14ac:dyDescent="0.25">
      <c r="B70" s="5"/>
      <c r="C70" s="5"/>
      <c r="D70" s="110" t="s">
        <v>140</v>
      </c>
      <c r="E70" s="111"/>
      <c r="F70" s="111"/>
      <c r="G70" s="111"/>
      <c r="H70" s="111"/>
      <c r="I70" s="111"/>
      <c r="J70" s="111"/>
      <c r="K70" s="112"/>
      <c r="L70" s="36" t="s">
        <v>202</v>
      </c>
      <c r="P70" s="66"/>
      <c r="Q70" s="27"/>
    </row>
    <row r="71" spans="2:17" ht="15.75" x14ac:dyDescent="0.25">
      <c r="B71" s="5"/>
      <c r="C71" s="5"/>
      <c r="D71" s="5" t="s">
        <v>24</v>
      </c>
      <c r="E71" s="23">
        <v>27168</v>
      </c>
      <c r="F71" s="23">
        <v>46073.1</v>
      </c>
      <c r="G71" s="23">
        <v>46073.1</v>
      </c>
      <c r="H71" s="26">
        <f>(G71*10%)+46073.1</f>
        <v>50680.409999999996</v>
      </c>
      <c r="I71" s="26">
        <f>(H71*10%)+50680.4</f>
        <v>55748.440999999999</v>
      </c>
      <c r="J71" s="26">
        <f>(I71*10%)+55748.4</f>
        <v>61323.244100000004</v>
      </c>
      <c r="K71" s="26">
        <f>(J71*10%)+61323.2</f>
        <v>67455.524409999998</v>
      </c>
      <c r="L71" s="5"/>
      <c r="P71" s="66"/>
      <c r="Q71" s="27"/>
    </row>
    <row r="72" spans="2:17" ht="31.5" x14ac:dyDescent="0.25">
      <c r="B72" s="5"/>
      <c r="C72" s="5"/>
      <c r="D72" s="9" t="s">
        <v>25</v>
      </c>
      <c r="E72" s="5"/>
      <c r="F72" s="5"/>
      <c r="G72" s="5"/>
      <c r="H72" s="33"/>
      <c r="I72" s="33"/>
      <c r="J72" s="33"/>
      <c r="K72" s="5"/>
      <c r="L72" s="5"/>
      <c r="P72" s="66"/>
      <c r="Q72" s="27"/>
    </row>
    <row r="73" spans="2:17" ht="31.5" x14ac:dyDescent="0.25">
      <c r="B73" s="5"/>
      <c r="C73" s="5"/>
      <c r="D73" s="9" t="s">
        <v>26</v>
      </c>
      <c r="E73" s="5"/>
      <c r="F73" s="5"/>
      <c r="G73" s="5"/>
      <c r="H73" s="33"/>
      <c r="I73" s="33"/>
      <c r="J73" s="33"/>
      <c r="K73" s="5"/>
      <c r="L73" s="5"/>
      <c r="P73" s="66"/>
      <c r="Q73" s="27"/>
    </row>
    <row r="74" spans="2:17" ht="15.75" x14ac:dyDescent="0.25">
      <c r="B74" s="5"/>
      <c r="C74" s="5"/>
      <c r="D74" s="5" t="s">
        <v>27</v>
      </c>
      <c r="E74" s="23"/>
      <c r="F74" s="23"/>
      <c r="G74" s="23"/>
      <c r="H74" s="31"/>
      <c r="I74" s="31"/>
      <c r="J74" s="31"/>
      <c r="K74" s="23"/>
      <c r="L74" s="5"/>
      <c r="P74" s="66"/>
      <c r="Q74" s="27"/>
    </row>
    <row r="75" spans="2:17" ht="110.25" x14ac:dyDescent="0.25">
      <c r="B75" s="5"/>
      <c r="C75" s="5"/>
      <c r="D75" s="9" t="s">
        <v>141</v>
      </c>
      <c r="E75" s="24">
        <f>E76+E77</f>
        <v>27168</v>
      </c>
      <c r="F75" s="24">
        <f t="shared" ref="F75" si="24">F76+F77</f>
        <v>46073.1</v>
      </c>
      <c r="G75" s="24">
        <f t="shared" ref="G75" si="25">G76+G77</f>
        <v>46073.1</v>
      </c>
      <c r="H75" s="32">
        <f t="shared" ref="H75:J75" si="26">H76+H77</f>
        <v>50680.409999999996</v>
      </c>
      <c r="I75" s="32">
        <f t="shared" si="26"/>
        <v>55748.440999999999</v>
      </c>
      <c r="J75" s="32">
        <f t="shared" si="26"/>
        <v>61323.244100000004</v>
      </c>
      <c r="K75" s="24">
        <f t="shared" ref="K75" si="27">K76+K77</f>
        <v>67455.524409999998</v>
      </c>
      <c r="L75" s="5"/>
      <c r="P75" s="66"/>
      <c r="Q75" s="27"/>
    </row>
    <row r="76" spans="2:17" ht="15.75" x14ac:dyDescent="0.25">
      <c r="B76" s="5"/>
      <c r="C76" s="5"/>
      <c r="D76" s="8" t="s">
        <v>29</v>
      </c>
      <c r="E76" s="23">
        <f>E71</f>
        <v>27168</v>
      </c>
      <c r="F76" s="23">
        <f t="shared" ref="F76:K76" si="28">F71</f>
        <v>46073.1</v>
      </c>
      <c r="G76" s="23">
        <f t="shared" si="28"/>
        <v>46073.1</v>
      </c>
      <c r="H76" s="23">
        <f t="shared" si="28"/>
        <v>50680.409999999996</v>
      </c>
      <c r="I76" s="23">
        <f t="shared" ref="I76:J76" si="29">I71</f>
        <v>55748.440999999999</v>
      </c>
      <c r="J76" s="23">
        <f t="shared" si="29"/>
        <v>61323.244100000004</v>
      </c>
      <c r="K76" s="23">
        <f t="shared" si="28"/>
        <v>67455.524409999998</v>
      </c>
      <c r="L76" s="5"/>
      <c r="P76" s="66"/>
      <c r="Q76" s="27"/>
    </row>
    <row r="77" spans="2:17" ht="15.75" x14ac:dyDescent="0.25">
      <c r="B77" s="5"/>
      <c r="C77" s="5"/>
      <c r="D77" s="8" t="s">
        <v>30</v>
      </c>
      <c r="E77" s="23"/>
      <c r="F77" s="23"/>
      <c r="G77" s="23"/>
      <c r="H77" s="31"/>
      <c r="I77" s="31"/>
      <c r="J77" s="31"/>
      <c r="K77" s="23"/>
      <c r="L77" s="5"/>
      <c r="P77" s="66"/>
      <c r="Q77" s="27"/>
    </row>
    <row r="78" spans="2:17" ht="66" customHeight="1" x14ac:dyDescent="0.25">
      <c r="B78" s="5"/>
      <c r="C78" s="5"/>
      <c r="D78" s="110" t="s">
        <v>142</v>
      </c>
      <c r="E78" s="111"/>
      <c r="F78" s="111"/>
      <c r="G78" s="111"/>
      <c r="H78" s="111"/>
      <c r="I78" s="111"/>
      <c r="J78" s="111"/>
      <c r="K78" s="112"/>
      <c r="L78" s="36" t="s">
        <v>203</v>
      </c>
      <c r="P78" s="66"/>
      <c r="Q78" s="27"/>
    </row>
    <row r="79" spans="2:17" ht="15.75" x14ac:dyDescent="0.25">
      <c r="B79" s="5"/>
      <c r="C79" s="5"/>
      <c r="D79" s="5" t="s">
        <v>24</v>
      </c>
      <c r="E79" s="23">
        <v>70000</v>
      </c>
      <c r="F79" s="23">
        <v>70000</v>
      </c>
      <c r="G79" s="23">
        <v>75000</v>
      </c>
      <c r="H79" s="23">
        <v>80000</v>
      </c>
      <c r="I79" s="26">
        <f>(H79*10%)+80000</f>
        <v>88000</v>
      </c>
      <c r="J79" s="26">
        <f>(I79*10%)+88000</f>
        <v>96800</v>
      </c>
      <c r="K79" s="26">
        <f>(J79*10%)+96800</f>
        <v>106480</v>
      </c>
      <c r="L79" s="5"/>
      <c r="P79" s="66"/>
      <c r="Q79" s="27"/>
    </row>
    <row r="80" spans="2:17" ht="31.5" x14ac:dyDescent="0.25">
      <c r="B80" s="5"/>
      <c r="C80" s="5"/>
      <c r="D80" s="9" t="s">
        <v>25</v>
      </c>
      <c r="E80" s="5"/>
      <c r="F80" s="5"/>
      <c r="G80" s="5"/>
      <c r="H80" s="33"/>
      <c r="I80" s="33"/>
      <c r="J80" s="33"/>
      <c r="K80" s="5"/>
      <c r="L80" s="5"/>
      <c r="P80" s="66"/>
      <c r="Q80" s="27"/>
    </row>
    <row r="81" spans="2:17" ht="31.5" x14ac:dyDescent="0.25">
      <c r="B81" s="5"/>
      <c r="C81" s="5"/>
      <c r="D81" s="9" t="s">
        <v>26</v>
      </c>
      <c r="E81" s="5"/>
      <c r="F81" s="5"/>
      <c r="G81" s="5"/>
      <c r="H81" s="33"/>
      <c r="I81" s="33"/>
      <c r="J81" s="33"/>
      <c r="K81" s="5"/>
      <c r="L81" s="5"/>
      <c r="P81" s="66"/>
      <c r="Q81" s="27"/>
    </row>
    <row r="82" spans="2:17" ht="15.75" x14ac:dyDescent="0.25">
      <c r="B82" s="5"/>
      <c r="C82" s="5"/>
      <c r="D82" s="5" t="s">
        <v>27</v>
      </c>
      <c r="E82" s="23"/>
      <c r="F82" s="23"/>
      <c r="G82" s="23"/>
      <c r="H82" s="31"/>
      <c r="I82" s="31"/>
      <c r="J82" s="31"/>
      <c r="K82" s="23"/>
      <c r="L82" s="5"/>
      <c r="P82" s="66"/>
      <c r="Q82" s="27"/>
    </row>
    <row r="83" spans="2:17" ht="220.5" x14ac:dyDescent="0.25">
      <c r="B83" s="5"/>
      <c r="C83" s="5"/>
      <c r="D83" s="9" t="s">
        <v>143</v>
      </c>
      <c r="E83" s="24">
        <f>E84+E85</f>
        <v>70000</v>
      </c>
      <c r="F83" s="24">
        <f t="shared" ref="F83" si="30">F84+F85</f>
        <v>70000</v>
      </c>
      <c r="G83" s="24">
        <f t="shared" ref="G83" si="31">G84+G85</f>
        <v>75000</v>
      </c>
      <c r="H83" s="32">
        <f t="shared" ref="H83:J83" si="32">H84+H85</f>
        <v>80000</v>
      </c>
      <c r="I83" s="32">
        <f t="shared" si="32"/>
        <v>88000</v>
      </c>
      <c r="J83" s="32">
        <f t="shared" si="32"/>
        <v>96800</v>
      </c>
      <c r="K83" s="24">
        <f t="shared" ref="K83" si="33">K84+K85</f>
        <v>106480</v>
      </c>
      <c r="L83" s="5"/>
      <c r="P83" s="66"/>
      <c r="Q83" s="27"/>
    </row>
    <row r="84" spans="2:17" ht="15.75" x14ac:dyDescent="0.25">
      <c r="B84" s="5"/>
      <c r="C84" s="5"/>
      <c r="D84" s="8" t="s">
        <v>29</v>
      </c>
      <c r="E84" s="23">
        <f>E79</f>
        <v>70000</v>
      </c>
      <c r="F84" s="23">
        <f t="shared" ref="F84:K84" si="34">F79</f>
        <v>70000</v>
      </c>
      <c r="G84" s="23">
        <f t="shared" si="34"/>
        <v>75000</v>
      </c>
      <c r="H84" s="23">
        <f t="shared" si="34"/>
        <v>80000</v>
      </c>
      <c r="I84" s="23">
        <f t="shared" si="34"/>
        <v>88000</v>
      </c>
      <c r="J84" s="23">
        <f t="shared" si="34"/>
        <v>96800</v>
      </c>
      <c r="K84" s="23">
        <f t="shared" si="34"/>
        <v>106480</v>
      </c>
      <c r="L84" s="5"/>
      <c r="P84" s="66"/>
      <c r="Q84" s="27"/>
    </row>
    <row r="85" spans="2:17" ht="15.75" x14ac:dyDescent="0.25">
      <c r="B85" s="5"/>
      <c r="C85" s="5"/>
      <c r="D85" s="8" t="s">
        <v>30</v>
      </c>
      <c r="E85" s="23"/>
      <c r="F85" s="23"/>
      <c r="G85" s="23"/>
      <c r="H85" s="31"/>
      <c r="I85" s="31"/>
      <c r="J85" s="31"/>
      <c r="K85" s="23"/>
      <c r="L85" s="5"/>
      <c r="P85" s="66"/>
      <c r="Q85" s="27"/>
    </row>
    <row r="86" spans="2:17" ht="36" customHeight="1" x14ac:dyDescent="0.25">
      <c r="B86" s="5"/>
      <c r="C86" s="5"/>
      <c r="D86" s="110" t="s">
        <v>144</v>
      </c>
      <c r="E86" s="111"/>
      <c r="F86" s="111"/>
      <c r="G86" s="111"/>
      <c r="H86" s="111"/>
      <c r="I86" s="111"/>
      <c r="J86" s="111"/>
      <c r="K86" s="112"/>
      <c r="L86" s="36" t="s">
        <v>204</v>
      </c>
      <c r="P86" s="66"/>
      <c r="Q86" s="27"/>
    </row>
    <row r="87" spans="2:17" ht="15.75" x14ac:dyDescent="0.25">
      <c r="B87" s="5"/>
      <c r="C87" s="5"/>
      <c r="D87" s="5" t="s">
        <v>24</v>
      </c>
      <c r="E87" s="23"/>
      <c r="F87" s="23"/>
      <c r="G87" s="23"/>
      <c r="H87" s="31"/>
      <c r="I87" s="31"/>
      <c r="J87" s="31"/>
      <c r="K87" s="23"/>
      <c r="L87" s="5"/>
      <c r="P87" s="66"/>
      <c r="Q87" s="27"/>
    </row>
    <row r="88" spans="2:17" ht="31.5" x14ac:dyDescent="0.25">
      <c r="B88" s="5"/>
      <c r="C88" s="5"/>
      <c r="D88" s="9" t="s">
        <v>25</v>
      </c>
      <c r="E88" s="5"/>
      <c r="F88" s="5"/>
      <c r="G88" s="5"/>
      <c r="H88" s="33"/>
      <c r="I88" s="33"/>
      <c r="J88" s="33"/>
      <c r="K88" s="5"/>
      <c r="L88" s="5"/>
      <c r="P88" s="66"/>
      <c r="Q88" s="27"/>
    </row>
    <row r="89" spans="2:17" ht="31.5" x14ac:dyDescent="0.25">
      <c r="B89" s="5"/>
      <c r="C89" s="5"/>
      <c r="D89" s="9" t="s">
        <v>26</v>
      </c>
      <c r="E89" s="5"/>
      <c r="F89" s="5"/>
      <c r="G89" s="5"/>
      <c r="H89" s="33"/>
      <c r="I89" s="33"/>
      <c r="J89" s="33"/>
      <c r="K89" s="5"/>
      <c r="L89" s="5"/>
      <c r="P89" s="66"/>
      <c r="Q89" s="27"/>
    </row>
    <row r="90" spans="2:17" ht="15.75" x14ac:dyDescent="0.25">
      <c r="B90" s="5"/>
      <c r="C90" s="5"/>
      <c r="D90" s="5" t="s">
        <v>27</v>
      </c>
      <c r="E90" s="23">
        <v>466770.1</v>
      </c>
      <c r="F90" s="23">
        <v>536990</v>
      </c>
      <c r="G90" s="23">
        <v>617538.5</v>
      </c>
      <c r="H90" s="31">
        <v>710169.3</v>
      </c>
      <c r="I90" s="26">
        <f>(H90*10%)+710169.3</f>
        <v>781186.2300000001</v>
      </c>
      <c r="J90" s="26">
        <f>(I90*10%)+781186.2</f>
        <v>859304.82299999997</v>
      </c>
      <c r="K90" s="26">
        <f>(J90*10%)+859304.8</f>
        <v>945235.28230000008</v>
      </c>
      <c r="L90" s="5"/>
      <c r="P90" s="66"/>
      <c r="Q90" s="27"/>
    </row>
    <row r="91" spans="2:17" ht="110.25" x14ac:dyDescent="0.25">
      <c r="B91" s="5"/>
      <c r="C91" s="5"/>
      <c r="D91" s="9" t="s">
        <v>145</v>
      </c>
      <c r="E91" s="24">
        <f>E92+E93</f>
        <v>466770.1</v>
      </c>
      <c r="F91" s="24">
        <f t="shared" ref="F91" si="35">F92+F93</f>
        <v>536990</v>
      </c>
      <c r="G91" s="24">
        <f t="shared" ref="G91" si="36">G92+G93</f>
        <v>617538.5</v>
      </c>
      <c r="H91" s="32">
        <f t="shared" ref="H91:J91" si="37">H92+H93</f>
        <v>710169.3</v>
      </c>
      <c r="I91" s="32">
        <f t="shared" si="37"/>
        <v>781186.2300000001</v>
      </c>
      <c r="J91" s="32">
        <f t="shared" si="37"/>
        <v>859304.82299999997</v>
      </c>
      <c r="K91" s="24">
        <f t="shared" ref="K91" si="38">K92+K93</f>
        <v>945235.28230000008</v>
      </c>
      <c r="L91" s="5"/>
      <c r="P91" s="66"/>
      <c r="Q91" s="27"/>
    </row>
    <row r="92" spans="2:17" ht="15.75" x14ac:dyDescent="0.25">
      <c r="B92" s="5"/>
      <c r="C92" s="5"/>
      <c r="D92" s="8" t="s">
        <v>29</v>
      </c>
      <c r="E92" s="23"/>
      <c r="F92" s="23"/>
      <c r="G92" s="23"/>
      <c r="H92" s="31"/>
      <c r="I92" s="31"/>
      <c r="J92" s="31"/>
      <c r="K92" s="23"/>
      <c r="L92" s="5"/>
      <c r="P92" s="66"/>
      <c r="Q92" s="27"/>
    </row>
    <row r="93" spans="2:17" ht="15.75" x14ac:dyDescent="0.25">
      <c r="B93" s="5"/>
      <c r="C93" s="5"/>
      <c r="D93" s="8" t="s">
        <v>30</v>
      </c>
      <c r="E93" s="23">
        <f>E90</f>
        <v>466770.1</v>
      </c>
      <c r="F93" s="23">
        <f t="shared" ref="F93:K93" si="39">F90</f>
        <v>536990</v>
      </c>
      <c r="G93" s="23">
        <f t="shared" si="39"/>
        <v>617538.5</v>
      </c>
      <c r="H93" s="23">
        <f t="shared" si="39"/>
        <v>710169.3</v>
      </c>
      <c r="I93" s="23">
        <f t="shared" si="39"/>
        <v>781186.2300000001</v>
      </c>
      <c r="J93" s="23">
        <f t="shared" si="39"/>
        <v>859304.82299999997</v>
      </c>
      <c r="K93" s="23">
        <f t="shared" si="39"/>
        <v>945235.28230000008</v>
      </c>
      <c r="L93" s="5"/>
      <c r="P93" s="66"/>
      <c r="Q93" s="27"/>
    </row>
    <row r="94" spans="2:17" ht="77.25" customHeight="1" x14ac:dyDescent="0.25">
      <c r="B94" s="5"/>
      <c r="C94" s="5"/>
      <c r="D94" s="110" t="s">
        <v>146</v>
      </c>
      <c r="E94" s="111"/>
      <c r="F94" s="111"/>
      <c r="G94" s="111"/>
      <c r="H94" s="111"/>
      <c r="I94" s="111"/>
      <c r="J94" s="111"/>
      <c r="K94" s="112"/>
      <c r="L94" s="36" t="s">
        <v>205</v>
      </c>
      <c r="P94" s="66"/>
      <c r="Q94" s="27"/>
    </row>
    <row r="95" spans="2:17" ht="15.75" x14ac:dyDescent="0.25">
      <c r="B95" s="5"/>
      <c r="C95" s="5"/>
      <c r="D95" s="5" t="s">
        <v>24</v>
      </c>
      <c r="E95" s="23"/>
      <c r="F95" s="23"/>
      <c r="G95" s="23"/>
      <c r="H95" s="31"/>
      <c r="I95" s="31"/>
      <c r="J95" s="31"/>
      <c r="K95" s="31"/>
      <c r="L95" s="5"/>
      <c r="P95" s="66"/>
      <c r="Q95" s="27"/>
    </row>
    <row r="96" spans="2:17" ht="31.5" x14ac:dyDescent="0.25">
      <c r="B96" s="5"/>
      <c r="C96" s="5"/>
      <c r="D96" s="9" t="s">
        <v>25</v>
      </c>
      <c r="E96" s="23">
        <v>209440.2</v>
      </c>
      <c r="F96" s="23">
        <v>147884.4</v>
      </c>
      <c r="G96" s="23">
        <v>155278.6</v>
      </c>
      <c r="H96" s="31">
        <v>163042.5</v>
      </c>
      <c r="I96" s="26">
        <f>(H96*10%)+163042.5</f>
        <v>179346.75</v>
      </c>
      <c r="J96" s="26">
        <f>(I96*10%)+179346.8</f>
        <v>197281.47499999998</v>
      </c>
      <c r="K96" s="26">
        <f>(J96*10%)+197281.5</f>
        <v>217009.64749999999</v>
      </c>
      <c r="L96" s="5"/>
      <c r="P96" s="66"/>
      <c r="Q96" s="27"/>
    </row>
    <row r="97" spans="2:17" ht="31.5" x14ac:dyDescent="0.25">
      <c r="B97" s="5"/>
      <c r="C97" s="5"/>
      <c r="D97" s="9" t="s">
        <v>26</v>
      </c>
      <c r="E97" s="5"/>
      <c r="F97" s="5"/>
      <c r="G97" s="5"/>
      <c r="H97" s="33"/>
      <c r="I97" s="33"/>
      <c r="J97" s="33"/>
      <c r="K97" s="5"/>
      <c r="L97" s="5"/>
      <c r="P97" s="66"/>
      <c r="Q97" s="27"/>
    </row>
    <row r="98" spans="2:17" ht="15.75" x14ac:dyDescent="0.25">
      <c r="B98" s="5"/>
      <c r="C98" s="5"/>
      <c r="D98" s="5" t="s">
        <v>27</v>
      </c>
      <c r="E98" s="23"/>
      <c r="F98" s="23"/>
      <c r="G98" s="23"/>
      <c r="H98" s="31"/>
      <c r="I98" s="31"/>
      <c r="J98" s="31"/>
      <c r="K98" s="23"/>
      <c r="L98" s="5"/>
      <c r="P98" s="66"/>
      <c r="Q98" s="27"/>
    </row>
    <row r="99" spans="2:17" ht="94.5" x14ac:dyDescent="0.25">
      <c r="B99" s="5"/>
      <c r="C99" s="5"/>
      <c r="D99" s="9" t="s">
        <v>147</v>
      </c>
      <c r="E99" s="24">
        <f>E100+E101</f>
        <v>209440.2</v>
      </c>
      <c r="F99" s="24">
        <f>F100+F101</f>
        <v>147884.4</v>
      </c>
      <c r="G99" s="24">
        <f t="shared" ref="G99" si="40">G100+G101</f>
        <v>155278.6</v>
      </c>
      <c r="H99" s="32">
        <f t="shared" ref="H99:J99" si="41">H100+H101</f>
        <v>163042.5</v>
      </c>
      <c r="I99" s="32">
        <f t="shared" si="41"/>
        <v>179346.75</v>
      </c>
      <c r="J99" s="32">
        <f t="shared" si="41"/>
        <v>197281.47499999998</v>
      </c>
      <c r="K99" s="24">
        <f t="shared" ref="K99" si="42">K100+K101</f>
        <v>217009.64749999999</v>
      </c>
      <c r="L99" s="5"/>
      <c r="P99" s="66"/>
      <c r="Q99" s="27"/>
    </row>
    <row r="100" spans="2:17" ht="15.75" x14ac:dyDescent="0.25">
      <c r="B100" s="5"/>
      <c r="C100" s="5"/>
      <c r="D100" s="8" t="s">
        <v>29</v>
      </c>
      <c r="E100" s="23"/>
      <c r="F100" s="23"/>
      <c r="G100" s="23"/>
      <c r="H100" s="23"/>
      <c r="I100" s="23"/>
      <c r="J100" s="23"/>
      <c r="K100" s="23"/>
      <c r="L100" s="5"/>
      <c r="P100" s="66"/>
      <c r="Q100" s="27"/>
    </row>
    <row r="101" spans="2:17" ht="15.75" x14ac:dyDescent="0.25">
      <c r="B101" s="5"/>
      <c r="C101" s="5"/>
      <c r="D101" s="8" t="s">
        <v>30</v>
      </c>
      <c r="E101" s="23">
        <f>E96</f>
        <v>209440.2</v>
      </c>
      <c r="F101" s="23">
        <f t="shared" ref="F101:K101" si="43">F96</f>
        <v>147884.4</v>
      </c>
      <c r="G101" s="23">
        <f t="shared" si="43"/>
        <v>155278.6</v>
      </c>
      <c r="H101" s="23">
        <f t="shared" si="43"/>
        <v>163042.5</v>
      </c>
      <c r="I101" s="23">
        <f t="shared" si="43"/>
        <v>179346.75</v>
      </c>
      <c r="J101" s="23">
        <f t="shared" si="43"/>
        <v>197281.47499999998</v>
      </c>
      <c r="K101" s="23">
        <f t="shared" si="43"/>
        <v>217009.64749999999</v>
      </c>
      <c r="L101" s="5"/>
      <c r="P101" s="66"/>
      <c r="Q101" s="27"/>
    </row>
    <row r="102" spans="2:17" ht="63.75" customHeight="1" x14ac:dyDescent="0.25">
      <c r="B102" s="5"/>
      <c r="C102" s="5"/>
      <c r="D102" s="110" t="s">
        <v>148</v>
      </c>
      <c r="E102" s="111"/>
      <c r="F102" s="111"/>
      <c r="G102" s="111"/>
      <c r="H102" s="111"/>
      <c r="I102" s="111"/>
      <c r="J102" s="111"/>
      <c r="K102" s="112"/>
      <c r="L102" s="36" t="s">
        <v>206</v>
      </c>
      <c r="P102" s="66"/>
      <c r="Q102" s="27"/>
    </row>
    <row r="103" spans="2:17" ht="15.75" x14ac:dyDescent="0.25">
      <c r="B103" s="5"/>
      <c r="C103" s="5"/>
      <c r="D103" s="5" t="s">
        <v>24</v>
      </c>
      <c r="E103" s="23"/>
      <c r="F103" s="23"/>
      <c r="G103" s="23"/>
      <c r="H103" s="31"/>
      <c r="I103" s="31"/>
      <c r="J103" s="31"/>
      <c r="K103" s="31"/>
      <c r="L103" s="5"/>
      <c r="P103" s="66"/>
      <c r="Q103" s="27"/>
    </row>
    <row r="104" spans="2:17" ht="31.5" x14ac:dyDescent="0.25">
      <c r="B104" s="5"/>
      <c r="C104" s="5"/>
      <c r="D104" s="9" t="s">
        <v>25</v>
      </c>
      <c r="E104" s="23">
        <v>293990.09999999998</v>
      </c>
      <c r="F104" s="23">
        <v>265610.3</v>
      </c>
      <c r="G104" s="23">
        <v>289390.8</v>
      </c>
      <c r="H104" s="31">
        <v>303860.40000000002</v>
      </c>
      <c r="I104" s="26">
        <f>(H104*10%)+303860.4</f>
        <v>334246.44</v>
      </c>
      <c r="J104" s="26">
        <f>(I104*10%)+334246.4</f>
        <v>367671.04399999999</v>
      </c>
      <c r="K104" s="26">
        <f>(J104*10%)+367671</f>
        <v>404438.10440000001</v>
      </c>
      <c r="L104" s="5"/>
      <c r="P104" s="66"/>
      <c r="Q104" s="27"/>
    </row>
    <row r="105" spans="2:17" ht="31.5" x14ac:dyDescent="0.25">
      <c r="B105" s="5"/>
      <c r="C105" s="5"/>
      <c r="D105" s="9" t="s">
        <v>26</v>
      </c>
      <c r="E105" s="5"/>
      <c r="F105" s="5"/>
      <c r="G105" s="5"/>
      <c r="H105" s="33"/>
      <c r="I105" s="33"/>
      <c r="J105" s="33"/>
      <c r="K105" s="5"/>
      <c r="L105" s="5"/>
      <c r="P105" s="66"/>
      <c r="Q105" s="27"/>
    </row>
    <row r="106" spans="2:17" ht="15.75" x14ac:dyDescent="0.25">
      <c r="B106" s="5"/>
      <c r="C106" s="5"/>
      <c r="D106" s="5" t="s">
        <v>27</v>
      </c>
      <c r="E106" s="23"/>
      <c r="F106" s="23"/>
      <c r="G106" s="23"/>
      <c r="H106" s="31"/>
      <c r="I106" s="31"/>
      <c r="J106" s="31"/>
      <c r="K106" s="23"/>
      <c r="L106" s="5"/>
      <c r="P106" s="66"/>
      <c r="Q106" s="27"/>
    </row>
    <row r="107" spans="2:17" ht="96.75" customHeight="1" x14ac:dyDescent="0.25">
      <c r="B107" s="5"/>
      <c r="C107" s="5"/>
      <c r="D107" s="9" t="s">
        <v>149</v>
      </c>
      <c r="E107" s="24">
        <f>E108+E109</f>
        <v>293990.09999999998</v>
      </c>
      <c r="F107" s="24">
        <f t="shared" ref="F107" si="44">F108+F109</f>
        <v>265610.3</v>
      </c>
      <c r="G107" s="24">
        <f t="shared" ref="G107" si="45">G108+G109</f>
        <v>289390.8</v>
      </c>
      <c r="H107" s="32">
        <f t="shared" ref="H107:J107" si="46">H108+H109</f>
        <v>303860.40000000002</v>
      </c>
      <c r="I107" s="32">
        <f t="shared" si="46"/>
        <v>334246.44</v>
      </c>
      <c r="J107" s="32">
        <f t="shared" si="46"/>
        <v>367671.04399999999</v>
      </c>
      <c r="K107" s="24">
        <f t="shared" ref="K107" si="47">K108+K109</f>
        <v>404438.10440000001</v>
      </c>
      <c r="L107" s="5"/>
      <c r="P107" s="66"/>
      <c r="Q107" s="27"/>
    </row>
    <row r="108" spans="2:17" ht="15.75" x14ac:dyDescent="0.25">
      <c r="B108" s="5"/>
      <c r="C108" s="5"/>
      <c r="D108" s="8" t="s">
        <v>29</v>
      </c>
      <c r="E108" s="23"/>
      <c r="F108" s="23"/>
      <c r="G108" s="23"/>
      <c r="H108" s="23"/>
      <c r="I108" s="23"/>
      <c r="J108" s="23"/>
      <c r="K108" s="23"/>
      <c r="L108" s="5"/>
      <c r="P108" s="66"/>
      <c r="Q108" s="27"/>
    </row>
    <row r="109" spans="2:17" ht="15.75" x14ac:dyDescent="0.25">
      <c r="B109" s="5"/>
      <c r="C109" s="5"/>
      <c r="D109" s="8" t="s">
        <v>30</v>
      </c>
      <c r="E109" s="23">
        <f>E104</f>
        <v>293990.09999999998</v>
      </c>
      <c r="F109" s="23">
        <f t="shared" ref="F109:K109" si="48">F104</f>
        <v>265610.3</v>
      </c>
      <c r="G109" s="23">
        <f>G104</f>
        <v>289390.8</v>
      </c>
      <c r="H109" s="23">
        <f t="shared" si="48"/>
        <v>303860.40000000002</v>
      </c>
      <c r="I109" s="23">
        <f t="shared" si="48"/>
        <v>334246.44</v>
      </c>
      <c r="J109" s="23">
        <f t="shared" si="48"/>
        <v>367671.04399999999</v>
      </c>
      <c r="K109" s="23">
        <f t="shared" si="48"/>
        <v>404438.10440000001</v>
      </c>
      <c r="L109" s="5"/>
      <c r="P109" s="66"/>
      <c r="Q109" s="27"/>
    </row>
    <row r="110" spans="2:17" ht="54" customHeight="1" x14ac:dyDescent="0.25">
      <c r="B110" s="5"/>
      <c r="C110" s="5"/>
      <c r="D110" s="110" t="s">
        <v>150</v>
      </c>
      <c r="E110" s="111"/>
      <c r="F110" s="111"/>
      <c r="G110" s="111"/>
      <c r="H110" s="111"/>
      <c r="I110" s="111"/>
      <c r="J110" s="111"/>
      <c r="K110" s="112"/>
      <c r="L110" s="36" t="s">
        <v>207</v>
      </c>
      <c r="P110" s="66"/>
      <c r="Q110" s="27"/>
    </row>
    <row r="111" spans="2:17" ht="15.75" x14ac:dyDescent="0.25">
      <c r="B111" s="5"/>
      <c r="C111" s="5"/>
      <c r="D111" s="5" t="s">
        <v>24</v>
      </c>
      <c r="E111" s="26">
        <v>389350</v>
      </c>
      <c r="F111" s="23">
        <v>316750</v>
      </c>
      <c r="G111" s="23">
        <v>131876.5</v>
      </c>
      <c r="H111" s="31">
        <v>0</v>
      </c>
      <c r="I111" s="31">
        <v>0</v>
      </c>
      <c r="J111" s="31">
        <v>0</v>
      </c>
      <c r="K111" s="31">
        <v>0</v>
      </c>
      <c r="L111" s="5"/>
      <c r="P111" s="66"/>
      <c r="Q111" s="27"/>
    </row>
    <row r="112" spans="2:17" ht="31.5" x14ac:dyDescent="0.25">
      <c r="B112" s="5"/>
      <c r="C112" s="5"/>
      <c r="D112" s="9" t="s">
        <v>25</v>
      </c>
      <c r="E112" s="5"/>
      <c r="F112" s="5"/>
      <c r="G112" s="5"/>
      <c r="H112" s="33"/>
      <c r="I112" s="33"/>
      <c r="J112" s="33"/>
      <c r="K112" s="5"/>
      <c r="L112" s="5"/>
      <c r="P112" s="66"/>
      <c r="Q112" s="27"/>
    </row>
    <row r="113" spans="2:17" ht="31.5" x14ac:dyDescent="0.25">
      <c r="B113" s="5"/>
      <c r="C113" s="5"/>
      <c r="D113" s="9" t="s">
        <v>26</v>
      </c>
      <c r="E113" s="5"/>
      <c r="F113" s="5"/>
      <c r="G113" s="5"/>
      <c r="H113" s="33"/>
      <c r="I113" s="33"/>
      <c r="J113" s="33"/>
      <c r="K113" s="5"/>
      <c r="L113" s="5"/>
      <c r="P113" s="66"/>
      <c r="Q113" s="27"/>
    </row>
    <row r="114" spans="2:17" ht="15.75" x14ac:dyDescent="0.25">
      <c r="B114" s="5"/>
      <c r="C114" s="5"/>
      <c r="D114" s="5" t="s">
        <v>27</v>
      </c>
      <c r="E114" s="26"/>
      <c r="F114" s="23"/>
      <c r="G114" s="23"/>
      <c r="H114" s="31"/>
      <c r="I114" s="31"/>
      <c r="J114" s="31"/>
      <c r="K114" s="31"/>
      <c r="L114" s="5"/>
      <c r="P114" s="66"/>
      <c r="Q114" s="27"/>
    </row>
    <row r="115" spans="2:17" ht="157.5" x14ac:dyDescent="0.25">
      <c r="B115" s="5"/>
      <c r="C115" s="5"/>
      <c r="D115" s="9" t="s">
        <v>151</v>
      </c>
      <c r="E115" s="24">
        <f>E116</f>
        <v>389350</v>
      </c>
      <c r="F115" s="24">
        <v>389350</v>
      </c>
      <c r="G115" s="24">
        <v>543440</v>
      </c>
      <c r="H115" s="32">
        <v>380000</v>
      </c>
      <c r="I115" s="32">
        <v>380000</v>
      </c>
      <c r="J115" s="32">
        <v>380000</v>
      </c>
      <c r="K115" s="24">
        <v>380000</v>
      </c>
      <c r="L115" s="5"/>
      <c r="P115" s="66"/>
      <c r="Q115" s="27"/>
    </row>
    <row r="116" spans="2:17" ht="15.75" x14ac:dyDescent="0.25">
      <c r="B116" s="5"/>
      <c r="C116" s="5"/>
      <c r="D116" s="8" t="s">
        <v>29</v>
      </c>
      <c r="E116" s="23">
        <f t="shared" ref="E116:K116" si="49">E111</f>
        <v>389350</v>
      </c>
      <c r="F116" s="23">
        <f t="shared" si="49"/>
        <v>316750</v>
      </c>
      <c r="G116" s="23">
        <f t="shared" si="49"/>
        <v>131876.5</v>
      </c>
      <c r="H116" s="23">
        <f t="shared" si="49"/>
        <v>0</v>
      </c>
      <c r="I116" s="23">
        <f t="shared" si="49"/>
        <v>0</v>
      </c>
      <c r="J116" s="23">
        <f t="shared" si="49"/>
        <v>0</v>
      </c>
      <c r="K116" s="23">
        <f t="shared" si="49"/>
        <v>0</v>
      </c>
      <c r="L116" s="5"/>
      <c r="P116" s="66"/>
      <c r="Q116" s="27"/>
    </row>
    <row r="117" spans="2:17" ht="15.75" x14ac:dyDescent="0.25">
      <c r="B117" s="5"/>
      <c r="C117" s="5"/>
      <c r="D117" s="8" t="s">
        <v>30</v>
      </c>
      <c r="E117" s="23"/>
      <c r="F117" s="23"/>
      <c r="G117" s="23"/>
      <c r="H117" s="23"/>
      <c r="I117" s="23"/>
      <c r="J117" s="23"/>
      <c r="K117" s="23"/>
      <c r="L117" s="5"/>
      <c r="P117" s="66"/>
      <c r="Q117" s="27"/>
    </row>
    <row r="118" spans="2:17" ht="49.5" customHeight="1" x14ac:dyDescent="0.25">
      <c r="B118" s="5"/>
      <c r="C118" s="5"/>
      <c r="D118" s="110" t="s">
        <v>152</v>
      </c>
      <c r="E118" s="111"/>
      <c r="F118" s="111"/>
      <c r="G118" s="111"/>
      <c r="H118" s="111"/>
      <c r="I118" s="111"/>
      <c r="J118" s="111"/>
      <c r="K118" s="112"/>
      <c r="L118" s="36" t="s">
        <v>207</v>
      </c>
      <c r="P118" s="66"/>
      <c r="Q118" s="27"/>
    </row>
    <row r="119" spans="2:17" ht="15.75" x14ac:dyDescent="0.25">
      <c r="B119" s="5"/>
      <c r="C119" s="5"/>
      <c r="D119" s="5" t="s">
        <v>24</v>
      </c>
      <c r="E119" s="23">
        <v>3764589.7</v>
      </c>
      <c r="F119" s="23">
        <v>0</v>
      </c>
      <c r="G119" s="23">
        <v>0</v>
      </c>
      <c r="H119" s="23"/>
      <c r="I119" s="23"/>
      <c r="J119" s="23"/>
      <c r="K119" s="23"/>
      <c r="L119" s="5"/>
      <c r="P119" s="66"/>
      <c r="Q119" s="27"/>
    </row>
    <row r="120" spans="2:17" ht="31.5" x14ac:dyDescent="0.25">
      <c r="B120" s="5"/>
      <c r="C120" s="5"/>
      <c r="D120" s="9" t="s">
        <v>25</v>
      </c>
      <c r="E120" s="5"/>
      <c r="F120" s="5"/>
      <c r="G120" s="5"/>
      <c r="H120" s="33"/>
      <c r="I120" s="33"/>
      <c r="J120" s="33"/>
      <c r="K120" s="5"/>
      <c r="L120" s="5"/>
      <c r="P120" s="66"/>
      <c r="Q120" s="27"/>
    </row>
    <row r="121" spans="2:17" ht="31.5" x14ac:dyDescent="0.25">
      <c r="B121" s="5"/>
      <c r="C121" s="5"/>
      <c r="D121" s="9" t="s">
        <v>26</v>
      </c>
      <c r="E121" s="5"/>
      <c r="F121" s="5"/>
      <c r="G121" s="5"/>
      <c r="H121" s="33"/>
      <c r="I121" s="33"/>
      <c r="J121" s="33"/>
      <c r="K121" s="5"/>
      <c r="L121" s="5"/>
      <c r="P121" s="66"/>
      <c r="Q121" s="27"/>
    </row>
    <row r="122" spans="2:17" ht="15.75" x14ac:dyDescent="0.25">
      <c r="B122" s="5"/>
      <c r="C122" s="5"/>
      <c r="D122" s="5" t="s">
        <v>27</v>
      </c>
      <c r="E122" s="23"/>
      <c r="F122" s="23"/>
      <c r="G122" s="23"/>
      <c r="H122" s="31"/>
      <c r="I122" s="31"/>
      <c r="J122" s="31"/>
      <c r="K122" s="23"/>
      <c r="L122" s="5"/>
      <c r="P122" s="66"/>
      <c r="Q122" s="27"/>
    </row>
    <row r="123" spans="2:17" ht="94.5" x14ac:dyDescent="0.25">
      <c r="B123" s="5"/>
      <c r="C123" s="5"/>
      <c r="D123" s="9" t="s">
        <v>153</v>
      </c>
      <c r="E123" s="24">
        <f>E124+E125</f>
        <v>3764589.7</v>
      </c>
      <c r="F123" s="24">
        <f>F124+F125</f>
        <v>0</v>
      </c>
      <c r="G123" s="24">
        <f t="shared" ref="G123" si="50">G124+G125</f>
        <v>0</v>
      </c>
      <c r="H123" s="32">
        <f t="shared" ref="H123:J123" si="51">H124+H125</f>
        <v>0</v>
      </c>
      <c r="I123" s="32">
        <f t="shared" si="51"/>
        <v>0</v>
      </c>
      <c r="J123" s="32">
        <f t="shared" si="51"/>
        <v>0</v>
      </c>
      <c r="K123" s="24">
        <f t="shared" ref="K123" si="52">K124+K125</f>
        <v>0</v>
      </c>
      <c r="L123" s="5"/>
      <c r="P123" s="66"/>
      <c r="Q123" s="27"/>
    </row>
    <row r="124" spans="2:17" ht="15.75" x14ac:dyDescent="0.25">
      <c r="B124" s="5"/>
      <c r="C124" s="5"/>
      <c r="D124" s="8" t="s">
        <v>29</v>
      </c>
      <c r="E124" s="23">
        <f>E119</f>
        <v>3764589.7</v>
      </c>
      <c r="F124" s="23">
        <f>F119</f>
        <v>0</v>
      </c>
      <c r="G124" s="23">
        <f t="shared" ref="G124:K124" si="53">G119</f>
        <v>0</v>
      </c>
      <c r="H124" s="23">
        <f t="shared" si="53"/>
        <v>0</v>
      </c>
      <c r="I124" s="23">
        <f t="shared" si="53"/>
        <v>0</v>
      </c>
      <c r="J124" s="23">
        <f t="shared" si="53"/>
        <v>0</v>
      </c>
      <c r="K124" s="23">
        <f t="shared" si="53"/>
        <v>0</v>
      </c>
      <c r="L124" s="5"/>
      <c r="P124" s="66"/>
      <c r="Q124" s="27"/>
    </row>
    <row r="125" spans="2:17" ht="15.75" x14ac:dyDescent="0.25">
      <c r="B125" s="5"/>
      <c r="C125" s="5"/>
      <c r="D125" s="8" t="s">
        <v>30</v>
      </c>
      <c r="E125" s="23"/>
      <c r="F125" s="23"/>
      <c r="G125" s="23"/>
      <c r="H125" s="31"/>
      <c r="I125" s="31"/>
      <c r="J125" s="31"/>
      <c r="K125" s="23"/>
      <c r="L125" s="5"/>
      <c r="P125" s="66"/>
      <c r="Q125" s="27"/>
    </row>
    <row r="126" spans="2:17" ht="60" customHeight="1" x14ac:dyDescent="0.25">
      <c r="B126" s="5"/>
      <c r="C126" s="5"/>
      <c r="D126" s="110" t="s">
        <v>154</v>
      </c>
      <c r="E126" s="111"/>
      <c r="F126" s="111"/>
      <c r="G126" s="111"/>
      <c r="H126" s="111"/>
      <c r="I126" s="111"/>
      <c r="J126" s="111"/>
      <c r="K126" s="112"/>
      <c r="L126" s="36" t="s">
        <v>208</v>
      </c>
      <c r="P126" s="66"/>
      <c r="Q126" s="27"/>
    </row>
    <row r="127" spans="2:17" ht="15.75" x14ac:dyDescent="0.25">
      <c r="B127" s="5"/>
      <c r="C127" s="5"/>
      <c r="D127" s="5" t="s">
        <v>24</v>
      </c>
      <c r="E127" s="23">
        <f>E132</f>
        <v>3192</v>
      </c>
      <c r="F127" s="23">
        <f>F132</f>
        <v>10020</v>
      </c>
      <c r="G127" s="23">
        <f t="shared" ref="G127:K127" si="54">G132</f>
        <v>11085.1</v>
      </c>
      <c r="H127" s="23">
        <f t="shared" si="54"/>
        <v>11196.8</v>
      </c>
      <c r="I127" s="23">
        <f t="shared" si="54"/>
        <v>12316.48</v>
      </c>
      <c r="J127" s="23">
        <f t="shared" si="54"/>
        <v>13548.148000000001</v>
      </c>
      <c r="K127" s="23">
        <f t="shared" si="54"/>
        <v>14902.9148</v>
      </c>
      <c r="L127" s="5"/>
      <c r="P127" s="66"/>
      <c r="Q127" s="27"/>
    </row>
    <row r="128" spans="2:17" ht="31.5" x14ac:dyDescent="0.25">
      <c r="B128" s="5"/>
      <c r="C128" s="5"/>
      <c r="D128" s="9" t="s">
        <v>25</v>
      </c>
      <c r="E128" s="5"/>
      <c r="F128" s="5"/>
      <c r="G128" s="5"/>
      <c r="H128" s="5"/>
      <c r="I128" s="5"/>
      <c r="J128" s="5"/>
      <c r="K128" s="5"/>
      <c r="L128" s="5"/>
      <c r="P128" s="66"/>
      <c r="Q128" s="27"/>
    </row>
    <row r="129" spans="2:18" ht="31.5" x14ac:dyDescent="0.25">
      <c r="B129" s="5"/>
      <c r="C129" s="5"/>
      <c r="D129" s="9" t="s">
        <v>26</v>
      </c>
      <c r="E129" s="5"/>
      <c r="F129" s="5"/>
      <c r="G129" s="5"/>
      <c r="H129" s="5"/>
      <c r="I129" s="5"/>
      <c r="J129" s="5"/>
      <c r="K129" s="5"/>
      <c r="L129" s="5"/>
      <c r="P129" s="66"/>
      <c r="Q129" s="27"/>
    </row>
    <row r="130" spans="2:18" ht="15.75" x14ac:dyDescent="0.25">
      <c r="B130" s="5"/>
      <c r="C130" s="5"/>
      <c r="D130" s="5" t="s">
        <v>27</v>
      </c>
      <c r="E130" s="23">
        <f>E133</f>
        <v>4872</v>
      </c>
      <c r="F130" s="23">
        <f>F133</f>
        <v>0</v>
      </c>
      <c r="G130" s="23">
        <f t="shared" ref="G130:K130" si="55">G133</f>
        <v>0</v>
      </c>
      <c r="H130" s="23">
        <f t="shared" si="55"/>
        <v>0</v>
      </c>
      <c r="I130" s="23">
        <f t="shared" si="55"/>
        <v>0</v>
      </c>
      <c r="J130" s="23">
        <f t="shared" si="55"/>
        <v>0</v>
      </c>
      <c r="K130" s="23">
        <f t="shared" si="55"/>
        <v>0</v>
      </c>
      <c r="L130" s="5"/>
      <c r="P130" s="66"/>
      <c r="Q130" s="27"/>
    </row>
    <row r="131" spans="2:18" ht="110.25" x14ac:dyDescent="0.25">
      <c r="B131" s="5"/>
      <c r="C131" s="5"/>
      <c r="D131" s="9" t="s">
        <v>155</v>
      </c>
      <c r="E131" s="24">
        <f>E132+E133</f>
        <v>8064</v>
      </c>
      <c r="F131" s="24">
        <f>F132+F133</f>
        <v>10020</v>
      </c>
      <c r="G131" s="24">
        <f t="shared" ref="G131" si="56">G132+G133</f>
        <v>11085.1</v>
      </c>
      <c r="H131" s="32">
        <f t="shared" ref="H131:J131" si="57">H132+H133</f>
        <v>11196.8</v>
      </c>
      <c r="I131" s="32">
        <f t="shared" si="57"/>
        <v>12316.48</v>
      </c>
      <c r="J131" s="32">
        <f t="shared" si="57"/>
        <v>13548.148000000001</v>
      </c>
      <c r="K131" s="24">
        <f t="shared" ref="K131" si="58">K132+K133</f>
        <v>14902.9148</v>
      </c>
      <c r="L131" s="5"/>
      <c r="P131" s="66"/>
      <c r="Q131" s="27"/>
    </row>
    <row r="132" spans="2:18" ht="15.75" x14ac:dyDescent="0.25">
      <c r="B132" s="5"/>
      <c r="C132" s="5"/>
      <c r="D132" s="8" t="s">
        <v>29</v>
      </c>
      <c r="E132" s="23">
        <v>3192</v>
      </c>
      <c r="F132" s="23">
        <v>10020</v>
      </c>
      <c r="G132" s="23">
        <v>11085.1</v>
      </c>
      <c r="H132" s="23">
        <v>11196.8</v>
      </c>
      <c r="I132" s="26">
        <f>(H132*10%)+11196.8</f>
        <v>12316.48</v>
      </c>
      <c r="J132" s="26">
        <f>(I132*10%)+12316.5</f>
        <v>13548.148000000001</v>
      </c>
      <c r="K132" s="26">
        <f>(J132*10%)+13548.1</f>
        <v>14902.9148</v>
      </c>
      <c r="L132" s="5"/>
      <c r="P132" s="66"/>
      <c r="Q132" s="27"/>
    </row>
    <row r="133" spans="2:18" ht="15.75" x14ac:dyDescent="0.25">
      <c r="B133" s="5"/>
      <c r="C133" s="5"/>
      <c r="D133" s="8" t="s">
        <v>30</v>
      </c>
      <c r="E133" s="23">
        <v>4872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5"/>
      <c r="P133" s="66"/>
      <c r="Q133" s="27"/>
    </row>
    <row r="134" spans="2:18" ht="49.5" customHeight="1" x14ac:dyDescent="0.25">
      <c r="B134" s="10" t="s">
        <v>32</v>
      </c>
      <c r="C134" s="5"/>
      <c r="D134" s="81" t="s">
        <v>209</v>
      </c>
      <c r="E134" s="86"/>
      <c r="F134" s="86"/>
      <c r="G134" s="86"/>
      <c r="H134" s="86"/>
      <c r="I134" s="86"/>
      <c r="J134" s="86"/>
      <c r="K134" s="82"/>
      <c r="L134" s="36" t="s">
        <v>210</v>
      </c>
      <c r="P134" s="66"/>
      <c r="Q134" s="27"/>
    </row>
    <row r="135" spans="2:18" ht="15.75" x14ac:dyDescent="0.25">
      <c r="B135" s="5"/>
      <c r="C135" s="5"/>
      <c r="D135" s="5" t="s">
        <v>24</v>
      </c>
      <c r="E135" s="23">
        <f>E143+E151+E159+E167+E175+E183+E191+E199+E207+E215+E223</f>
        <v>12898736.4</v>
      </c>
      <c r="F135" s="23">
        <f t="shared" ref="F135:K135" si="59">F143+F151+F159+F167+F175+F183+F191+F199+F207+F215+F223</f>
        <v>14564475.800000001</v>
      </c>
      <c r="G135" s="23">
        <f t="shared" si="59"/>
        <v>15162043.000000002</v>
      </c>
      <c r="H135" s="23">
        <f t="shared" si="59"/>
        <v>15560673</v>
      </c>
      <c r="I135" s="23">
        <f t="shared" si="59"/>
        <v>17116780.300000001</v>
      </c>
      <c r="J135" s="23">
        <f t="shared" si="59"/>
        <v>18828458.329999998</v>
      </c>
      <c r="K135" s="23">
        <f t="shared" si="59"/>
        <v>20711284.133000001</v>
      </c>
      <c r="L135" s="5"/>
      <c r="P135" s="66"/>
      <c r="Q135" s="27"/>
    </row>
    <row r="136" spans="2:18" ht="31.5" x14ac:dyDescent="0.25">
      <c r="B136" s="5"/>
      <c r="C136" s="5"/>
      <c r="D136" s="9" t="s">
        <v>25</v>
      </c>
      <c r="E136" s="23">
        <f t="shared" ref="E136:K138" si="60">E144+E152+E160+E168+E176+E184+E192+E200+E208+E216+E224</f>
        <v>733612.5</v>
      </c>
      <c r="F136" s="23">
        <f t="shared" si="60"/>
        <v>1126520.8999999999</v>
      </c>
      <c r="G136" s="23">
        <f t="shared" si="60"/>
        <v>1182847</v>
      </c>
      <c r="H136" s="23">
        <f t="shared" si="60"/>
        <v>1241989.2999999998</v>
      </c>
      <c r="I136" s="23">
        <f t="shared" si="60"/>
        <v>1366188.23</v>
      </c>
      <c r="J136" s="23">
        <f t="shared" si="60"/>
        <v>1502807.023</v>
      </c>
      <c r="K136" s="23">
        <f t="shared" si="60"/>
        <v>1653087.7023</v>
      </c>
      <c r="L136" s="5"/>
      <c r="P136" s="66"/>
      <c r="Q136" s="27"/>
    </row>
    <row r="137" spans="2:18" ht="31.5" x14ac:dyDescent="0.25">
      <c r="B137" s="5"/>
      <c r="C137" s="5"/>
      <c r="D137" s="9" t="s">
        <v>26</v>
      </c>
      <c r="E137" s="23">
        <f t="shared" si="60"/>
        <v>0</v>
      </c>
      <c r="F137" s="23">
        <f t="shared" si="60"/>
        <v>0</v>
      </c>
      <c r="G137" s="23">
        <f t="shared" si="60"/>
        <v>0</v>
      </c>
      <c r="H137" s="23">
        <f t="shared" si="60"/>
        <v>0</v>
      </c>
      <c r="I137" s="23">
        <f t="shared" si="60"/>
        <v>0</v>
      </c>
      <c r="J137" s="23">
        <f t="shared" si="60"/>
        <v>0</v>
      </c>
      <c r="K137" s="23">
        <f t="shared" si="60"/>
        <v>0</v>
      </c>
      <c r="L137" s="5"/>
      <c r="P137" s="66"/>
      <c r="Q137" s="27"/>
    </row>
    <row r="138" spans="2:18" ht="15.75" x14ac:dyDescent="0.25">
      <c r="B138" s="5"/>
      <c r="C138" s="5"/>
      <c r="D138" s="5" t="s">
        <v>27</v>
      </c>
      <c r="E138" s="23">
        <f t="shared" si="60"/>
        <v>1698644.9999999998</v>
      </c>
      <c r="F138" s="23">
        <f t="shared" si="60"/>
        <v>10000</v>
      </c>
      <c r="G138" s="23">
        <f t="shared" si="60"/>
        <v>0</v>
      </c>
      <c r="H138" s="23">
        <f t="shared" si="60"/>
        <v>0</v>
      </c>
      <c r="I138" s="23">
        <f t="shared" si="60"/>
        <v>0</v>
      </c>
      <c r="J138" s="23">
        <f t="shared" si="60"/>
        <v>0</v>
      </c>
      <c r="K138" s="23">
        <f t="shared" si="60"/>
        <v>0</v>
      </c>
      <c r="L138" s="5"/>
      <c r="P138" s="66"/>
      <c r="Q138" s="27"/>
    </row>
    <row r="139" spans="2:18" ht="47.25" x14ac:dyDescent="0.25">
      <c r="B139" s="5"/>
      <c r="C139" s="5"/>
      <c r="D139" s="9" t="s">
        <v>28</v>
      </c>
      <c r="E139" s="72">
        <f>E140+E141</f>
        <v>15330993.9</v>
      </c>
      <c r="F139" s="24">
        <f t="shared" ref="F139:K139" si="61">F140+F141</f>
        <v>15700996.700000001</v>
      </c>
      <c r="G139" s="24">
        <f t="shared" si="61"/>
        <v>16344890.000000002</v>
      </c>
      <c r="H139" s="24">
        <f t="shared" si="61"/>
        <v>16802662.300000001</v>
      </c>
      <c r="I139" s="24">
        <f t="shared" si="61"/>
        <v>18482968.530000001</v>
      </c>
      <c r="J139" s="24">
        <f>J140+J141</f>
        <v>20331265.353</v>
      </c>
      <c r="K139" s="24">
        <f t="shared" si="61"/>
        <v>22364371.835300002</v>
      </c>
      <c r="L139" s="5"/>
      <c r="N139" s="27"/>
      <c r="P139" s="66"/>
      <c r="Q139" s="27"/>
    </row>
    <row r="140" spans="2:18" ht="15.75" x14ac:dyDescent="0.25">
      <c r="B140" s="5"/>
      <c r="C140" s="5"/>
      <c r="D140" s="8" t="s">
        <v>29</v>
      </c>
      <c r="E140" s="23">
        <f>E135</f>
        <v>12898736.4</v>
      </c>
      <c r="F140" s="23">
        <f t="shared" ref="F140:K140" si="62">F148+F156+F164+F172+F180+F188+F196+F204+F212+F220+F228</f>
        <v>14564475.800000001</v>
      </c>
      <c r="G140" s="23">
        <f t="shared" si="62"/>
        <v>15162043.000000002</v>
      </c>
      <c r="H140" s="31">
        <f t="shared" si="62"/>
        <v>15560673</v>
      </c>
      <c r="I140" s="31">
        <f t="shared" ref="I140" si="63">I148+I156+I164+I172+I180+I188+I196+I204+I212+I220+I228</f>
        <v>17116780.300000001</v>
      </c>
      <c r="J140" s="71">
        <f>J148+J156+J164+J172+J180+J188+J196+J204+J212+J220+J228</f>
        <v>18828458.329999998</v>
      </c>
      <c r="K140" s="23">
        <f t="shared" si="62"/>
        <v>20711284.133000001</v>
      </c>
      <c r="L140" s="5"/>
      <c r="N140" s="27"/>
      <c r="P140" s="66"/>
      <c r="Q140" s="27"/>
      <c r="R140" s="27"/>
    </row>
    <row r="141" spans="2:18" ht="15.75" x14ac:dyDescent="0.25">
      <c r="B141" s="5"/>
      <c r="C141" s="5"/>
      <c r="D141" s="8" t="s">
        <v>30</v>
      </c>
      <c r="E141" s="23">
        <f>E138+E136</f>
        <v>2432257.5</v>
      </c>
      <c r="F141" s="23">
        <f t="shared" ref="F141:K141" si="64">F138+F136</f>
        <v>1136520.8999999999</v>
      </c>
      <c r="G141" s="23">
        <f t="shared" si="64"/>
        <v>1182847</v>
      </c>
      <c r="H141" s="23">
        <f t="shared" si="64"/>
        <v>1241989.2999999998</v>
      </c>
      <c r="I141" s="23">
        <f t="shared" si="64"/>
        <v>1366188.23</v>
      </c>
      <c r="J141" s="23">
        <f t="shared" si="64"/>
        <v>1502807.023</v>
      </c>
      <c r="K141" s="23">
        <f t="shared" si="64"/>
        <v>1653087.7023</v>
      </c>
      <c r="L141" s="5"/>
      <c r="P141" s="66"/>
      <c r="Q141" s="27"/>
    </row>
    <row r="142" spans="2:18" ht="36" customHeight="1" x14ac:dyDescent="0.25">
      <c r="B142" s="5"/>
      <c r="C142" s="5"/>
      <c r="D142" s="110" t="s">
        <v>156</v>
      </c>
      <c r="E142" s="111"/>
      <c r="F142" s="111"/>
      <c r="G142" s="111"/>
      <c r="H142" s="111"/>
      <c r="I142" s="111"/>
      <c r="J142" s="111"/>
      <c r="K142" s="112"/>
      <c r="L142" s="36" t="s">
        <v>211</v>
      </c>
      <c r="P142" s="66"/>
      <c r="Q142" s="27"/>
    </row>
    <row r="143" spans="2:18" ht="15.75" x14ac:dyDescent="0.25">
      <c r="B143" s="5"/>
      <c r="C143" s="5"/>
      <c r="D143" s="5" t="s">
        <v>24</v>
      </c>
      <c r="E143" s="23">
        <f>E148</f>
        <v>6402253.7000000002</v>
      </c>
      <c r="F143" s="23">
        <f>F148</f>
        <v>12478828.4</v>
      </c>
      <c r="G143" s="23">
        <f t="shared" ref="G143:K143" si="65">G148</f>
        <v>12910140.5</v>
      </c>
      <c r="H143" s="23">
        <f t="shared" si="65"/>
        <v>13297893.199999999</v>
      </c>
      <c r="I143" s="23">
        <f t="shared" si="65"/>
        <v>14627682.52</v>
      </c>
      <c r="J143" s="23">
        <f t="shared" si="65"/>
        <v>16090450.752</v>
      </c>
      <c r="K143" s="23">
        <f t="shared" si="65"/>
        <v>17699495.8752</v>
      </c>
      <c r="L143" s="5"/>
      <c r="P143" s="66"/>
      <c r="Q143" s="27"/>
    </row>
    <row r="144" spans="2:18" ht="31.5" x14ac:dyDescent="0.25">
      <c r="B144" s="5"/>
      <c r="C144" s="5"/>
      <c r="D144" s="9" t="s">
        <v>25</v>
      </c>
      <c r="E144" s="5"/>
      <c r="F144" s="5"/>
      <c r="G144" s="5"/>
      <c r="H144" s="5"/>
      <c r="I144" s="5"/>
      <c r="J144" s="5"/>
      <c r="K144" s="5"/>
      <c r="L144" s="5"/>
      <c r="P144" s="66"/>
      <c r="Q144" s="27"/>
    </row>
    <row r="145" spans="2:17" ht="31.5" x14ac:dyDescent="0.25">
      <c r="B145" s="5"/>
      <c r="C145" s="5"/>
      <c r="D145" s="9" t="s">
        <v>26</v>
      </c>
      <c r="E145" s="5"/>
      <c r="F145" s="5"/>
      <c r="G145" s="5"/>
      <c r="H145" s="5"/>
      <c r="I145" s="5"/>
      <c r="J145" s="5"/>
      <c r="K145" s="5"/>
      <c r="L145" s="5"/>
      <c r="P145" s="66"/>
      <c r="Q145" s="27"/>
    </row>
    <row r="146" spans="2:17" ht="15.75" x14ac:dyDescent="0.25">
      <c r="B146" s="5"/>
      <c r="C146" s="5"/>
      <c r="D146" s="5" t="s">
        <v>27</v>
      </c>
      <c r="E146" s="23">
        <f>E149</f>
        <v>1568665.4</v>
      </c>
      <c r="F146" s="23">
        <f>F149</f>
        <v>0</v>
      </c>
      <c r="G146" s="23">
        <f t="shared" ref="G146:K146" si="66">G149</f>
        <v>0</v>
      </c>
      <c r="H146" s="23">
        <f t="shared" si="66"/>
        <v>0</v>
      </c>
      <c r="I146" s="23">
        <f t="shared" si="66"/>
        <v>0</v>
      </c>
      <c r="J146" s="23">
        <f t="shared" si="66"/>
        <v>0</v>
      </c>
      <c r="K146" s="23">
        <f t="shared" si="66"/>
        <v>0</v>
      </c>
      <c r="L146" s="5"/>
      <c r="P146" s="66"/>
      <c r="Q146" s="27"/>
    </row>
    <row r="147" spans="2:17" ht="110.25" x14ac:dyDescent="0.25">
      <c r="B147" s="5"/>
      <c r="C147" s="5"/>
      <c r="D147" s="9" t="s">
        <v>157</v>
      </c>
      <c r="E147" s="24">
        <f>E148+E149</f>
        <v>7970919.0999999996</v>
      </c>
      <c r="F147" s="24">
        <f>F148+F149</f>
        <v>12478828.4</v>
      </c>
      <c r="G147" s="24">
        <f t="shared" ref="G147:K147" si="67">G148+G149</f>
        <v>12910140.5</v>
      </c>
      <c r="H147" s="24">
        <f t="shared" si="67"/>
        <v>13297893.199999999</v>
      </c>
      <c r="I147" s="24">
        <f t="shared" si="67"/>
        <v>14627682.52</v>
      </c>
      <c r="J147" s="24">
        <f t="shared" si="67"/>
        <v>16090450.752</v>
      </c>
      <c r="K147" s="24">
        <f t="shared" si="67"/>
        <v>17699495.8752</v>
      </c>
      <c r="L147" s="5"/>
      <c r="P147" s="66"/>
      <c r="Q147" s="27"/>
    </row>
    <row r="148" spans="2:17" ht="15.75" x14ac:dyDescent="0.25">
      <c r="B148" s="5"/>
      <c r="C148" s="5"/>
      <c r="D148" s="8" t="s">
        <v>29</v>
      </c>
      <c r="E148" s="23">
        <v>6402253.7000000002</v>
      </c>
      <c r="F148" s="23">
        <v>12478828.4</v>
      </c>
      <c r="G148" s="23">
        <v>12910140.5</v>
      </c>
      <c r="H148" s="31">
        <v>13297893.199999999</v>
      </c>
      <c r="I148" s="26">
        <f>(H148*10%)+13297893.2</f>
        <v>14627682.52</v>
      </c>
      <c r="J148" s="26">
        <f>(I148*10%)+14627682.5</f>
        <v>16090450.752</v>
      </c>
      <c r="K148" s="26">
        <f>(J148*10%)+16090450.8</f>
        <v>17699495.8752</v>
      </c>
      <c r="L148" s="5"/>
      <c r="P148" s="66"/>
      <c r="Q148" s="27"/>
    </row>
    <row r="149" spans="2:17" ht="15.75" x14ac:dyDescent="0.25">
      <c r="B149" s="5"/>
      <c r="C149" s="5"/>
      <c r="D149" s="8" t="s">
        <v>30</v>
      </c>
      <c r="E149" s="23">
        <v>1568665.4</v>
      </c>
      <c r="F149" s="23">
        <v>0</v>
      </c>
      <c r="G149" s="23">
        <v>0</v>
      </c>
      <c r="H149" s="31">
        <v>0</v>
      </c>
      <c r="I149" s="31">
        <v>0</v>
      </c>
      <c r="J149" s="31">
        <v>0</v>
      </c>
      <c r="K149" s="31">
        <v>0</v>
      </c>
      <c r="L149" s="5"/>
      <c r="P149" s="66"/>
      <c r="Q149" s="27"/>
    </row>
    <row r="150" spans="2:17" ht="30" customHeight="1" x14ac:dyDescent="0.25">
      <c r="B150" s="5"/>
      <c r="C150" s="5"/>
      <c r="D150" s="110" t="s">
        <v>158</v>
      </c>
      <c r="E150" s="111"/>
      <c r="F150" s="111"/>
      <c r="G150" s="111"/>
      <c r="H150" s="111"/>
      <c r="I150" s="111"/>
      <c r="J150" s="111"/>
      <c r="K150" s="112"/>
      <c r="L150" s="36" t="s">
        <v>211</v>
      </c>
      <c r="P150" s="66"/>
      <c r="Q150" s="27"/>
    </row>
    <row r="151" spans="2:17" ht="15.75" x14ac:dyDescent="0.25">
      <c r="B151" s="5"/>
      <c r="C151" s="5"/>
      <c r="D151" s="5" t="s">
        <v>24</v>
      </c>
      <c r="E151" s="23">
        <f>E156</f>
        <v>684987.9</v>
      </c>
      <c r="F151" s="23">
        <f>F156</f>
        <v>1028395.9</v>
      </c>
      <c r="G151" s="23">
        <f t="shared" ref="G151:K151" si="68">G156</f>
        <v>1101219.8</v>
      </c>
      <c r="H151" s="23">
        <f t="shared" si="68"/>
        <v>1101929.3999999999</v>
      </c>
      <c r="I151" s="23">
        <f t="shared" si="68"/>
        <v>1212122.3399999999</v>
      </c>
      <c r="J151" s="23">
        <f t="shared" si="68"/>
        <v>1333334.534</v>
      </c>
      <c r="K151" s="23">
        <f t="shared" si="68"/>
        <v>1466667.9534</v>
      </c>
      <c r="L151" s="5"/>
      <c r="P151" s="66"/>
      <c r="Q151" s="27"/>
    </row>
    <row r="152" spans="2:17" ht="31.5" x14ac:dyDescent="0.25">
      <c r="B152" s="5"/>
      <c r="C152" s="5"/>
      <c r="D152" s="9" t="s">
        <v>25</v>
      </c>
      <c r="E152" s="5"/>
      <c r="F152" s="5"/>
      <c r="G152" s="5"/>
      <c r="H152" s="33"/>
      <c r="I152" s="33"/>
      <c r="J152" s="33"/>
      <c r="K152" s="5"/>
      <c r="L152" s="5"/>
      <c r="P152" s="66"/>
      <c r="Q152" s="27"/>
    </row>
    <row r="153" spans="2:17" ht="31.5" x14ac:dyDescent="0.25">
      <c r="B153" s="5"/>
      <c r="C153" s="5"/>
      <c r="D153" s="9" t="s">
        <v>26</v>
      </c>
      <c r="E153" s="5"/>
      <c r="F153" s="5"/>
      <c r="G153" s="5"/>
      <c r="H153" s="33"/>
      <c r="I153" s="33"/>
      <c r="J153" s="33"/>
      <c r="K153" s="5"/>
      <c r="L153" s="5"/>
      <c r="P153" s="66"/>
      <c r="Q153" s="27"/>
    </row>
    <row r="154" spans="2:17" ht="15.75" x14ac:dyDescent="0.25">
      <c r="B154" s="5"/>
      <c r="C154" s="5"/>
      <c r="D154" s="5" t="s">
        <v>27</v>
      </c>
      <c r="E154" s="23">
        <f>E157</f>
        <v>14096.7</v>
      </c>
      <c r="F154" s="23">
        <f>F157</f>
        <v>0</v>
      </c>
      <c r="G154" s="23">
        <f t="shared" ref="G154:K154" si="69">G157</f>
        <v>0</v>
      </c>
      <c r="H154" s="23">
        <f t="shared" si="69"/>
        <v>0</v>
      </c>
      <c r="I154" s="23">
        <f t="shared" si="69"/>
        <v>0</v>
      </c>
      <c r="J154" s="23">
        <f t="shared" si="69"/>
        <v>0</v>
      </c>
      <c r="K154" s="23">
        <f t="shared" si="69"/>
        <v>0</v>
      </c>
      <c r="L154" s="5"/>
      <c r="P154" s="66"/>
      <c r="Q154" s="27"/>
    </row>
    <row r="155" spans="2:17" ht="92.25" customHeight="1" x14ac:dyDescent="0.25">
      <c r="B155" s="5"/>
      <c r="C155" s="5"/>
      <c r="D155" s="9" t="s">
        <v>159</v>
      </c>
      <c r="E155" s="24">
        <f>E156+E157</f>
        <v>699084.6</v>
      </c>
      <c r="F155" s="24">
        <f t="shared" ref="F155:K155" si="70">F156+F157</f>
        <v>1028395.9</v>
      </c>
      <c r="G155" s="24">
        <f t="shared" si="70"/>
        <v>1101219.8</v>
      </c>
      <c r="H155" s="24">
        <f t="shared" si="70"/>
        <v>1101929.3999999999</v>
      </c>
      <c r="I155" s="24">
        <f t="shared" si="70"/>
        <v>1212122.3399999999</v>
      </c>
      <c r="J155" s="24">
        <f t="shared" si="70"/>
        <v>1333334.534</v>
      </c>
      <c r="K155" s="24">
        <f t="shared" si="70"/>
        <v>1466667.9534</v>
      </c>
      <c r="L155" s="5"/>
      <c r="P155" s="66"/>
      <c r="Q155" s="27"/>
    </row>
    <row r="156" spans="2:17" ht="15.75" x14ac:dyDescent="0.25">
      <c r="B156" s="5"/>
      <c r="C156" s="5"/>
      <c r="D156" s="8" t="s">
        <v>29</v>
      </c>
      <c r="E156" s="23">
        <v>684987.9</v>
      </c>
      <c r="F156" s="23">
        <v>1028395.9</v>
      </c>
      <c r="G156" s="23">
        <v>1101219.8</v>
      </c>
      <c r="H156" s="23">
        <v>1101929.3999999999</v>
      </c>
      <c r="I156" s="26">
        <f>(H156*10%)+1101929.4</f>
        <v>1212122.3399999999</v>
      </c>
      <c r="J156" s="26">
        <f>(I156*10%)+1212122.3</f>
        <v>1333334.534</v>
      </c>
      <c r="K156" s="26">
        <f>(J156*10%)+1333334.5</f>
        <v>1466667.9534</v>
      </c>
      <c r="L156" s="5"/>
      <c r="P156" s="66"/>
      <c r="Q156" s="27"/>
    </row>
    <row r="157" spans="2:17" ht="15.75" x14ac:dyDescent="0.25">
      <c r="B157" s="5"/>
      <c r="C157" s="5"/>
      <c r="D157" s="8" t="s">
        <v>30</v>
      </c>
      <c r="E157" s="23">
        <v>14096.7</v>
      </c>
      <c r="F157" s="23">
        <v>0</v>
      </c>
      <c r="G157" s="23">
        <v>0</v>
      </c>
      <c r="H157" s="31">
        <v>0</v>
      </c>
      <c r="I157" s="31">
        <v>0</v>
      </c>
      <c r="J157" s="31">
        <v>0</v>
      </c>
      <c r="K157" s="23">
        <v>0</v>
      </c>
      <c r="L157" s="5"/>
      <c r="P157" s="66"/>
      <c r="Q157" s="27"/>
    </row>
    <row r="158" spans="2:17" ht="33.75" customHeight="1" x14ac:dyDescent="0.25">
      <c r="B158" s="5"/>
      <c r="C158" s="5"/>
      <c r="D158" s="110" t="s">
        <v>160</v>
      </c>
      <c r="E158" s="111"/>
      <c r="F158" s="111"/>
      <c r="G158" s="111"/>
      <c r="H158" s="111"/>
      <c r="I158" s="111"/>
      <c r="J158" s="111"/>
      <c r="K158" s="112"/>
      <c r="L158" s="36" t="s">
        <v>211</v>
      </c>
      <c r="P158" s="66"/>
      <c r="Q158" s="27"/>
    </row>
    <row r="159" spans="2:17" ht="15.75" x14ac:dyDescent="0.25">
      <c r="B159" s="5"/>
      <c r="C159" s="5"/>
      <c r="D159" s="5" t="s">
        <v>24</v>
      </c>
      <c r="E159" s="23">
        <f>E164</f>
        <v>259363.1</v>
      </c>
      <c r="F159" s="23">
        <f>F164</f>
        <v>522714.6</v>
      </c>
      <c r="G159" s="23">
        <f t="shared" ref="G159:K159" si="71">G164</f>
        <v>547909.4</v>
      </c>
      <c r="H159" s="23">
        <f t="shared" si="71"/>
        <v>549366.80000000005</v>
      </c>
      <c r="I159" s="23">
        <f t="shared" si="71"/>
        <v>604303.4800000001</v>
      </c>
      <c r="J159" s="23">
        <f t="shared" si="71"/>
        <v>664733.848</v>
      </c>
      <c r="K159" s="23">
        <f t="shared" si="71"/>
        <v>731207.18480000005</v>
      </c>
      <c r="L159" s="5"/>
      <c r="P159" s="66"/>
      <c r="Q159" s="27"/>
    </row>
    <row r="160" spans="2:17" ht="31.5" x14ac:dyDescent="0.25">
      <c r="B160" s="5"/>
      <c r="C160" s="5"/>
      <c r="D160" s="9" t="s">
        <v>25</v>
      </c>
      <c r="E160" s="5"/>
      <c r="F160" s="5"/>
      <c r="G160" s="5"/>
      <c r="H160" s="5"/>
      <c r="I160" s="5"/>
      <c r="J160" s="5"/>
      <c r="K160" s="5"/>
      <c r="L160" s="5"/>
      <c r="P160" s="66"/>
      <c r="Q160" s="27"/>
    </row>
    <row r="161" spans="2:17" ht="31.5" x14ac:dyDescent="0.25">
      <c r="B161" s="5"/>
      <c r="C161" s="5"/>
      <c r="D161" s="9" t="s">
        <v>26</v>
      </c>
      <c r="E161" s="5"/>
      <c r="F161" s="5"/>
      <c r="G161" s="5"/>
      <c r="H161" s="5"/>
      <c r="I161" s="5"/>
      <c r="J161" s="5"/>
      <c r="K161" s="5"/>
      <c r="L161" s="5"/>
      <c r="P161" s="66"/>
      <c r="Q161" s="27"/>
    </row>
    <row r="162" spans="2:17" ht="15.75" x14ac:dyDescent="0.25">
      <c r="B162" s="5"/>
      <c r="C162" s="5"/>
      <c r="D162" s="5" t="s">
        <v>27</v>
      </c>
      <c r="E162" s="23">
        <f>E165</f>
        <v>29874.9</v>
      </c>
      <c r="F162" s="23">
        <f>F165</f>
        <v>0</v>
      </c>
      <c r="G162" s="23">
        <f t="shared" ref="G162:K162" si="72">G165</f>
        <v>0</v>
      </c>
      <c r="H162" s="23">
        <f t="shared" si="72"/>
        <v>0</v>
      </c>
      <c r="I162" s="23">
        <f t="shared" si="72"/>
        <v>0</v>
      </c>
      <c r="J162" s="23">
        <f t="shared" si="72"/>
        <v>0</v>
      </c>
      <c r="K162" s="23">
        <f t="shared" si="72"/>
        <v>0</v>
      </c>
      <c r="L162" s="5"/>
      <c r="P162" s="66"/>
      <c r="Q162" s="27"/>
    </row>
    <row r="163" spans="2:17" ht="94.5" x14ac:dyDescent="0.25">
      <c r="B163" s="5"/>
      <c r="C163" s="5"/>
      <c r="D163" s="9" t="s">
        <v>161</v>
      </c>
      <c r="E163" s="24">
        <f>E164+E165</f>
        <v>289238</v>
      </c>
      <c r="F163" s="24">
        <f t="shared" ref="F163:K163" si="73">F164+F165</f>
        <v>522714.6</v>
      </c>
      <c r="G163" s="24">
        <f t="shared" si="73"/>
        <v>547909.4</v>
      </c>
      <c r="H163" s="24">
        <f t="shared" si="73"/>
        <v>549366.80000000005</v>
      </c>
      <c r="I163" s="24">
        <f t="shared" si="73"/>
        <v>604303.4800000001</v>
      </c>
      <c r="J163" s="24">
        <f t="shared" si="73"/>
        <v>664733.848</v>
      </c>
      <c r="K163" s="24">
        <f t="shared" si="73"/>
        <v>731207.18480000005</v>
      </c>
      <c r="L163" s="5"/>
      <c r="P163" s="66"/>
      <c r="Q163" s="27"/>
    </row>
    <row r="164" spans="2:17" ht="15.75" x14ac:dyDescent="0.25">
      <c r="B164" s="5"/>
      <c r="C164" s="5"/>
      <c r="D164" s="8" t="s">
        <v>29</v>
      </c>
      <c r="E164" s="23">
        <v>259363.1</v>
      </c>
      <c r="F164" s="23">
        <v>522714.6</v>
      </c>
      <c r="G164" s="23">
        <v>547909.4</v>
      </c>
      <c r="H164" s="23">
        <v>549366.80000000005</v>
      </c>
      <c r="I164" s="26">
        <f>(H164*10%)+549366.8</f>
        <v>604303.4800000001</v>
      </c>
      <c r="J164" s="26">
        <f>(I164*10%)+604303.5</f>
        <v>664733.848</v>
      </c>
      <c r="K164" s="26">
        <f>(J164*10%)+664733.8</f>
        <v>731207.18480000005</v>
      </c>
      <c r="L164" s="5"/>
      <c r="P164" s="66"/>
      <c r="Q164" s="27"/>
    </row>
    <row r="165" spans="2:17" ht="15.75" x14ac:dyDescent="0.25">
      <c r="B165" s="5"/>
      <c r="C165" s="5"/>
      <c r="D165" s="8" t="s">
        <v>30</v>
      </c>
      <c r="E165" s="23">
        <v>29874.9</v>
      </c>
      <c r="F165" s="23">
        <v>0</v>
      </c>
      <c r="G165" s="23">
        <v>0</v>
      </c>
      <c r="H165" s="31">
        <v>0</v>
      </c>
      <c r="I165" s="31">
        <v>0</v>
      </c>
      <c r="J165" s="31">
        <v>0</v>
      </c>
      <c r="K165" s="31">
        <v>0</v>
      </c>
      <c r="L165" s="5"/>
      <c r="P165" s="66"/>
      <c r="Q165" s="27"/>
    </row>
    <row r="166" spans="2:17" ht="34.5" customHeight="1" x14ac:dyDescent="0.25">
      <c r="B166" s="5"/>
      <c r="C166" s="5"/>
      <c r="D166" s="110" t="s">
        <v>162</v>
      </c>
      <c r="E166" s="111"/>
      <c r="F166" s="111"/>
      <c r="G166" s="111"/>
      <c r="H166" s="111"/>
      <c r="I166" s="111"/>
      <c r="J166" s="111"/>
      <c r="K166" s="112"/>
      <c r="L166" s="36" t="s">
        <v>211</v>
      </c>
      <c r="P166" s="66"/>
      <c r="Q166" s="27"/>
    </row>
    <row r="167" spans="2:17" ht="15.75" x14ac:dyDescent="0.25">
      <c r="B167" s="5"/>
      <c r="C167" s="5"/>
      <c r="D167" s="5" t="s">
        <v>24</v>
      </c>
      <c r="E167" s="23">
        <v>35000</v>
      </c>
      <c r="F167" s="23">
        <v>76000</v>
      </c>
      <c r="G167" s="23">
        <v>76000</v>
      </c>
      <c r="H167" s="26">
        <f>(G167*10%)+76000</f>
        <v>83600</v>
      </c>
      <c r="I167" s="26">
        <f>(H167*10%)+83640</f>
        <v>92000</v>
      </c>
      <c r="J167" s="26">
        <f>(I167*10%)+92000</f>
        <v>101200</v>
      </c>
      <c r="K167" s="26">
        <f>(J167*10%)+101200-20</f>
        <v>111300</v>
      </c>
      <c r="L167" s="33"/>
      <c r="P167" s="66"/>
      <c r="Q167" s="27"/>
    </row>
    <row r="168" spans="2:17" ht="31.5" x14ac:dyDescent="0.25">
      <c r="B168" s="5"/>
      <c r="C168" s="5"/>
      <c r="D168" s="9" t="s">
        <v>25</v>
      </c>
      <c r="E168" s="5"/>
      <c r="F168" s="5"/>
      <c r="G168" s="5"/>
      <c r="H168" s="33"/>
      <c r="I168" s="33"/>
      <c r="J168" s="33"/>
      <c r="K168" s="5"/>
      <c r="L168" s="5"/>
      <c r="P168" s="66"/>
      <c r="Q168" s="27"/>
    </row>
    <row r="169" spans="2:17" ht="31.5" x14ac:dyDescent="0.25">
      <c r="B169" s="5"/>
      <c r="C169" s="5"/>
      <c r="D169" s="9" t="s">
        <v>26</v>
      </c>
      <c r="E169" s="5"/>
      <c r="F169" s="5"/>
      <c r="G169" s="5"/>
      <c r="H169" s="33"/>
      <c r="I169" s="33"/>
      <c r="J169" s="33"/>
      <c r="K169" s="5"/>
      <c r="L169" s="5"/>
      <c r="P169" s="66"/>
      <c r="Q169" s="27"/>
    </row>
    <row r="170" spans="2:17" ht="15.75" x14ac:dyDescent="0.25">
      <c r="B170" s="5"/>
      <c r="C170" s="5"/>
      <c r="D170" s="5" t="s">
        <v>27</v>
      </c>
      <c r="E170" s="23"/>
      <c r="F170" s="23"/>
      <c r="G170" s="23"/>
      <c r="H170" s="31"/>
      <c r="I170" s="31"/>
      <c r="J170" s="31"/>
      <c r="K170" s="23"/>
      <c r="L170" s="5"/>
      <c r="P170" s="66"/>
      <c r="Q170" s="27"/>
    </row>
    <row r="171" spans="2:17" ht="78.75" x14ac:dyDescent="0.25">
      <c r="B171" s="5"/>
      <c r="C171" s="5"/>
      <c r="D171" s="9" t="s">
        <v>163</v>
      </c>
      <c r="E171" s="24">
        <f>E172+E173</f>
        <v>35000</v>
      </c>
      <c r="F171" s="24">
        <f t="shared" ref="F171:K171" si="74">F172+F173</f>
        <v>76000</v>
      </c>
      <c r="G171" s="24">
        <f t="shared" si="74"/>
        <v>76000</v>
      </c>
      <c r="H171" s="24">
        <f t="shared" si="74"/>
        <v>83600</v>
      </c>
      <c r="I171" s="24">
        <f t="shared" si="74"/>
        <v>92000</v>
      </c>
      <c r="J171" s="24">
        <f t="shared" si="74"/>
        <v>101200</v>
      </c>
      <c r="K171" s="24">
        <f t="shared" si="74"/>
        <v>111300</v>
      </c>
      <c r="L171" s="5"/>
      <c r="P171" s="66"/>
      <c r="Q171" s="27"/>
    </row>
    <row r="172" spans="2:17" ht="15.75" x14ac:dyDescent="0.25">
      <c r="B172" s="5"/>
      <c r="C172" s="5"/>
      <c r="D172" s="8" t="s">
        <v>29</v>
      </c>
      <c r="E172" s="23">
        <f>E167</f>
        <v>35000</v>
      </c>
      <c r="F172" s="23">
        <f t="shared" ref="F172:K172" si="75">F167</f>
        <v>76000</v>
      </c>
      <c r="G172" s="23">
        <f t="shared" si="75"/>
        <v>76000</v>
      </c>
      <c r="H172" s="23">
        <f t="shared" si="75"/>
        <v>83600</v>
      </c>
      <c r="I172" s="23">
        <f t="shared" si="75"/>
        <v>92000</v>
      </c>
      <c r="J172" s="23">
        <f t="shared" si="75"/>
        <v>101200</v>
      </c>
      <c r="K172" s="23">
        <f t="shared" si="75"/>
        <v>111300</v>
      </c>
      <c r="L172" s="5"/>
      <c r="P172" s="66"/>
      <c r="Q172" s="27"/>
    </row>
    <row r="173" spans="2:17" ht="15.75" x14ac:dyDescent="0.25">
      <c r="B173" s="5"/>
      <c r="C173" s="5"/>
      <c r="D173" s="8" t="s">
        <v>30</v>
      </c>
      <c r="E173" s="23"/>
      <c r="F173" s="23"/>
      <c r="G173" s="23"/>
      <c r="H173" s="31"/>
      <c r="I173" s="31"/>
      <c r="J173" s="31"/>
      <c r="K173" s="23"/>
      <c r="L173" s="5"/>
      <c r="P173" s="66"/>
      <c r="Q173" s="27"/>
    </row>
    <row r="174" spans="2:17" ht="35.25" customHeight="1" x14ac:dyDescent="0.25">
      <c r="B174" s="5"/>
      <c r="C174" s="5"/>
      <c r="D174" s="110" t="s">
        <v>164</v>
      </c>
      <c r="E174" s="111"/>
      <c r="F174" s="111"/>
      <c r="G174" s="111"/>
      <c r="H174" s="111"/>
      <c r="I174" s="111"/>
      <c r="J174" s="111"/>
      <c r="K174" s="112"/>
      <c r="L174" s="36" t="s">
        <v>211</v>
      </c>
      <c r="P174" s="66"/>
      <c r="Q174" s="27"/>
    </row>
    <row r="175" spans="2:17" ht="15.75" x14ac:dyDescent="0.25">
      <c r="B175" s="5"/>
      <c r="C175" s="5"/>
      <c r="D175" s="5" t="s">
        <v>24</v>
      </c>
      <c r="E175" s="23">
        <f>E180</f>
        <v>281721.40000000002</v>
      </c>
      <c r="F175" s="23">
        <f>F180</f>
        <v>458536.9</v>
      </c>
      <c r="G175" s="23">
        <f t="shared" ref="G175:K175" si="76">G180</f>
        <v>526773.30000000005</v>
      </c>
      <c r="H175" s="23">
        <f t="shared" si="76"/>
        <v>527883.6</v>
      </c>
      <c r="I175" s="23">
        <f t="shared" si="76"/>
        <v>580671.96</v>
      </c>
      <c r="J175" s="23">
        <f t="shared" si="76"/>
        <v>638739.196</v>
      </c>
      <c r="K175" s="23">
        <f t="shared" si="76"/>
        <v>702613.11959999998</v>
      </c>
      <c r="L175" s="5"/>
      <c r="P175" s="66"/>
      <c r="Q175" s="27"/>
    </row>
    <row r="176" spans="2:17" ht="31.5" x14ac:dyDescent="0.25">
      <c r="B176" s="5"/>
      <c r="C176" s="5"/>
      <c r="D176" s="9" t="s">
        <v>25</v>
      </c>
      <c r="E176" s="5"/>
      <c r="F176" s="5"/>
      <c r="G176" s="5"/>
      <c r="H176" s="5"/>
      <c r="I176" s="5"/>
      <c r="J176" s="5"/>
      <c r="K176" s="5"/>
      <c r="L176" s="5"/>
      <c r="P176" s="66"/>
      <c r="Q176" s="27"/>
    </row>
    <row r="177" spans="2:17" ht="31.5" x14ac:dyDescent="0.25">
      <c r="B177" s="5"/>
      <c r="C177" s="5"/>
      <c r="D177" s="9" t="s">
        <v>26</v>
      </c>
      <c r="E177" s="5"/>
      <c r="F177" s="5"/>
      <c r="G177" s="5"/>
      <c r="H177" s="5"/>
      <c r="I177" s="5"/>
      <c r="J177" s="5"/>
      <c r="K177" s="5"/>
      <c r="L177" s="5"/>
      <c r="P177" s="66"/>
      <c r="Q177" s="27"/>
    </row>
    <row r="178" spans="2:17" ht="15.75" x14ac:dyDescent="0.25">
      <c r="B178" s="5"/>
      <c r="C178" s="5"/>
      <c r="D178" s="5" t="s">
        <v>27</v>
      </c>
      <c r="E178" s="23">
        <f>E181</f>
        <v>21608</v>
      </c>
      <c r="F178" s="23">
        <f>F181</f>
        <v>0</v>
      </c>
      <c r="G178" s="23">
        <f t="shared" ref="G178:K178" si="77">G181</f>
        <v>0</v>
      </c>
      <c r="H178" s="23">
        <f t="shared" si="77"/>
        <v>0</v>
      </c>
      <c r="I178" s="23">
        <f t="shared" si="77"/>
        <v>0</v>
      </c>
      <c r="J178" s="23">
        <f t="shared" si="77"/>
        <v>0</v>
      </c>
      <c r="K178" s="23">
        <f t="shared" si="77"/>
        <v>0</v>
      </c>
      <c r="L178" s="5"/>
      <c r="P178" s="66"/>
      <c r="Q178" s="27"/>
    </row>
    <row r="179" spans="2:17" ht="78.75" x14ac:dyDescent="0.25">
      <c r="B179" s="5"/>
      <c r="C179" s="5"/>
      <c r="D179" s="9" t="s">
        <v>165</v>
      </c>
      <c r="E179" s="24">
        <f>E180+E181</f>
        <v>303329.40000000002</v>
      </c>
      <c r="F179" s="24">
        <f t="shared" ref="F179:K179" si="78">F180+F181</f>
        <v>458536.9</v>
      </c>
      <c r="G179" s="24">
        <f t="shared" si="78"/>
        <v>526773.30000000005</v>
      </c>
      <c r="H179" s="24">
        <f t="shared" si="78"/>
        <v>527883.6</v>
      </c>
      <c r="I179" s="24">
        <f t="shared" si="78"/>
        <v>580671.96</v>
      </c>
      <c r="J179" s="24">
        <f t="shared" si="78"/>
        <v>638739.196</v>
      </c>
      <c r="K179" s="24">
        <f t="shared" si="78"/>
        <v>702613.11959999998</v>
      </c>
      <c r="L179" s="5"/>
      <c r="P179" s="66"/>
      <c r="Q179" s="27"/>
    </row>
    <row r="180" spans="2:17" ht="15.75" x14ac:dyDescent="0.25">
      <c r="B180" s="5"/>
      <c r="C180" s="5"/>
      <c r="D180" s="8" t="s">
        <v>29</v>
      </c>
      <c r="E180" s="23">
        <v>281721.40000000002</v>
      </c>
      <c r="F180" s="23">
        <v>458536.9</v>
      </c>
      <c r="G180" s="23">
        <v>526773.30000000005</v>
      </c>
      <c r="H180" s="23">
        <v>527883.6</v>
      </c>
      <c r="I180" s="26">
        <f>(H180*10%)+527883.6</f>
        <v>580671.96</v>
      </c>
      <c r="J180" s="26">
        <f>(I180*10%)+580672</f>
        <v>638739.196</v>
      </c>
      <c r="K180" s="26">
        <f>(J180*10%)+638739.2</f>
        <v>702613.11959999998</v>
      </c>
      <c r="L180" s="5"/>
      <c r="P180" s="66"/>
      <c r="Q180" s="27"/>
    </row>
    <row r="181" spans="2:17" ht="15.75" x14ac:dyDescent="0.25">
      <c r="B181" s="5"/>
      <c r="C181" s="5"/>
      <c r="D181" s="8" t="s">
        <v>30</v>
      </c>
      <c r="E181" s="23">
        <v>21608</v>
      </c>
      <c r="F181" s="23">
        <v>0</v>
      </c>
      <c r="G181" s="23">
        <v>0</v>
      </c>
      <c r="H181" s="31">
        <v>0</v>
      </c>
      <c r="I181" s="31">
        <v>0</v>
      </c>
      <c r="J181" s="31">
        <v>0</v>
      </c>
      <c r="K181" s="31">
        <v>0</v>
      </c>
      <c r="L181" s="5"/>
      <c r="P181" s="66"/>
      <c r="Q181" s="27"/>
    </row>
    <row r="182" spans="2:17" ht="65.25" customHeight="1" x14ac:dyDescent="0.25">
      <c r="B182" s="5"/>
      <c r="C182" s="5"/>
      <c r="D182" s="110" t="s">
        <v>166</v>
      </c>
      <c r="E182" s="111"/>
      <c r="F182" s="111"/>
      <c r="G182" s="111"/>
      <c r="H182" s="111"/>
      <c r="I182" s="111"/>
      <c r="J182" s="111"/>
      <c r="K182" s="112"/>
      <c r="L182" s="36" t="s">
        <v>205</v>
      </c>
      <c r="P182" s="66"/>
      <c r="Q182" s="27"/>
    </row>
    <row r="183" spans="2:17" ht="15.75" x14ac:dyDescent="0.25">
      <c r="B183" s="5"/>
      <c r="C183" s="5"/>
      <c r="D183" s="5" t="s">
        <v>24</v>
      </c>
      <c r="E183" s="26"/>
      <c r="F183" s="26"/>
      <c r="G183" s="26"/>
      <c r="H183" s="31"/>
      <c r="I183" s="31"/>
      <c r="J183" s="31"/>
      <c r="K183" s="26"/>
      <c r="L183" s="5"/>
      <c r="P183" s="66"/>
      <c r="Q183" s="27"/>
    </row>
    <row r="184" spans="2:17" ht="31.5" x14ac:dyDescent="0.25">
      <c r="B184" s="5"/>
      <c r="C184" s="5"/>
      <c r="D184" s="9" t="s">
        <v>25</v>
      </c>
      <c r="E184" s="23">
        <v>373525</v>
      </c>
      <c r="F184" s="23">
        <v>641104</v>
      </c>
      <c r="G184" s="23">
        <v>673159.2</v>
      </c>
      <c r="H184" s="31">
        <v>706817.2</v>
      </c>
      <c r="I184" s="26">
        <f>(H184*10%)+706817.2</f>
        <v>777498.91999999993</v>
      </c>
      <c r="J184" s="26">
        <f>(I184*10%)+777498.9</f>
        <v>855248.79200000002</v>
      </c>
      <c r="K184" s="26">
        <f>(J184*10%)+855248.8</f>
        <v>940773.67920000001</v>
      </c>
      <c r="L184" s="5"/>
      <c r="P184" s="66"/>
      <c r="Q184" s="27"/>
    </row>
    <row r="185" spans="2:17" ht="31.5" x14ac:dyDescent="0.25">
      <c r="B185" s="5"/>
      <c r="C185" s="5"/>
      <c r="D185" s="9" t="s">
        <v>26</v>
      </c>
      <c r="E185" s="5"/>
      <c r="F185" s="5"/>
      <c r="G185" s="5"/>
      <c r="H185" s="33"/>
      <c r="I185" s="33"/>
      <c r="J185" s="33"/>
      <c r="K185" s="5"/>
      <c r="L185" s="5"/>
      <c r="P185" s="66"/>
      <c r="Q185" s="27"/>
    </row>
    <row r="186" spans="2:17" ht="15.75" x14ac:dyDescent="0.25">
      <c r="B186" s="5"/>
      <c r="C186" s="5"/>
      <c r="D186" s="5" t="s">
        <v>27</v>
      </c>
      <c r="E186" s="23"/>
      <c r="F186" s="23"/>
      <c r="G186" s="23"/>
      <c r="H186" s="31"/>
      <c r="I186" s="31"/>
      <c r="J186" s="31"/>
      <c r="K186" s="23"/>
      <c r="L186" s="5"/>
      <c r="P186" s="66"/>
      <c r="Q186" s="27"/>
    </row>
    <row r="187" spans="2:17" ht="94.5" x14ac:dyDescent="0.25">
      <c r="B187" s="5"/>
      <c r="C187" s="5"/>
      <c r="D187" s="9" t="s">
        <v>167</v>
      </c>
      <c r="E187" s="24">
        <f>E188+E189</f>
        <v>373525</v>
      </c>
      <c r="F187" s="24">
        <f t="shared" ref="F187:K187" si="79">F188+F189</f>
        <v>641104</v>
      </c>
      <c r="G187" s="24">
        <f t="shared" si="79"/>
        <v>673159.2</v>
      </c>
      <c r="H187" s="24">
        <f t="shared" si="79"/>
        <v>706817.2</v>
      </c>
      <c r="I187" s="24">
        <f t="shared" si="79"/>
        <v>777498.91999999993</v>
      </c>
      <c r="J187" s="24">
        <f t="shared" si="79"/>
        <v>855248.79200000002</v>
      </c>
      <c r="K187" s="24">
        <f t="shared" si="79"/>
        <v>940773.67920000001</v>
      </c>
      <c r="L187" s="5"/>
      <c r="P187" s="66"/>
      <c r="Q187" s="27"/>
    </row>
    <row r="188" spans="2:17" ht="15.75" x14ac:dyDescent="0.25">
      <c r="B188" s="5"/>
      <c r="C188" s="5"/>
      <c r="D188" s="8" t="s">
        <v>29</v>
      </c>
      <c r="E188" s="23"/>
      <c r="F188" s="23"/>
      <c r="G188" s="23"/>
      <c r="H188" s="31"/>
      <c r="I188" s="31"/>
      <c r="J188" s="31"/>
      <c r="K188" s="23"/>
      <c r="L188" s="5"/>
      <c r="P188" s="66"/>
      <c r="Q188" s="27"/>
    </row>
    <row r="189" spans="2:17" ht="15.75" x14ac:dyDescent="0.25">
      <c r="B189" s="5"/>
      <c r="C189" s="5"/>
      <c r="D189" s="8" t="s">
        <v>30</v>
      </c>
      <c r="E189" s="23">
        <f>E184</f>
        <v>373525</v>
      </c>
      <c r="F189" s="23">
        <f t="shared" ref="F189:J189" si="80">F184</f>
        <v>641104</v>
      </c>
      <c r="G189" s="23">
        <f t="shared" si="80"/>
        <v>673159.2</v>
      </c>
      <c r="H189" s="23">
        <f t="shared" si="80"/>
        <v>706817.2</v>
      </c>
      <c r="I189" s="23">
        <f t="shared" si="80"/>
        <v>777498.91999999993</v>
      </c>
      <c r="J189" s="23">
        <f t="shared" si="80"/>
        <v>855248.79200000002</v>
      </c>
      <c r="K189" s="23">
        <f t="shared" ref="K189" si="81">K184</f>
        <v>940773.67920000001</v>
      </c>
      <c r="L189" s="5"/>
      <c r="P189" s="66"/>
      <c r="Q189" s="27"/>
    </row>
    <row r="190" spans="2:17" ht="81.75" customHeight="1" x14ac:dyDescent="0.25">
      <c r="B190" s="5"/>
      <c r="C190" s="5"/>
      <c r="D190" s="110" t="s">
        <v>168</v>
      </c>
      <c r="E190" s="111"/>
      <c r="F190" s="111"/>
      <c r="G190" s="111"/>
      <c r="H190" s="111"/>
      <c r="I190" s="111"/>
      <c r="J190" s="111"/>
      <c r="K190" s="112"/>
      <c r="L190" s="36" t="s">
        <v>206</v>
      </c>
      <c r="P190" s="66"/>
      <c r="Q190" s="27"/>
    </row>
    <row r="191" spans="2:17" ht="15.75" x14ac:dyDescent="0.25">
      <c r="B191" s="5"/>
      <c r="C191" s="5"/>
      <c r="D191" s="5" t="s">
        <v>24</v>
      </c>
      <c r="E191" s="26"/>
      <c r="F191" s="26"/>
      <c r="G191" s="26"/>
      <c r="H191" s="31"/>
      <c r="I191" s="31"/>
      <c r="J191" s="31"/>
      <c r="K191" s="26"/>
      <c r="L191" s="5"/>
      <c r="P191" s="66"/>
      <c r="Q191" s="27"/>
    </row>
    <row r="192" spans="2:17" ht="31.5" x14ac:dyDescent="0.25">
      <c r="B192" s="5"/>
      <c r="C192" s="5"/>
      <c r="D192" s="9" t="s">
        <v>25</v>
      </c>
      <c r="E192" s="26">
        <v>360087.5</v>
      </c>
      <c r="F192" s="26">
        <v>485416.9</v>
      </c>
      <c r="G192" s="26">
        <v>509687.8</v>
      </c>
      <c r="H192" s="31">
        <v>535172.1</v>
      </c>
      <c r="I192" s="26">
        <f>(H192*10%)+535172.1</f>
        <v>588689.30999999994</v>
      </c>
      <c r="J192" s="26">
        <f>(I192*10%)+588689.3</f>
        <v>647558.23100000003</v>
      </c>
      <c r="K192" s="26">
        <f>(J192*10%)+647558.2</f>
        <v>712314.02309999999</v>
      </c>
      <c r="L192" s="5"/>
      <c r="P192" s="66"/>
      <c r="Q192" s="27"/>
    </row>
    <row r="193" spans="2:17" ht="31.5" x14ac:dyDescent="0.25">
      <c r="B193" s="5"/>
      <c r="C193" s="5"/>
      <c r="D193" s="9" t="s">
        <v>26</v>
      </c>
      <c r="E193" s="5"/>
      <c r="F193" s="5"/>
      <c r="G193" s="5"/>
      <c r="H193" s="33"/>
      <c r="I193" s="33"/>
      <c r="J193" s="33"/>
      <c r="K193" s="5"/>
      <c r="L193" s="5"/>
      <c r="P193" s="66"/>
      <c r="Q193" s="27"/>
    </row>
    <row r="194" spans="2:17" ht="15.75" x14ac:dyDescent="0.25">
      <c r="B194" s="5"/>
      <c r="C194" s="5"/>
      <c r="D194" s="5" t="s">
        <v>27</v>
      </c>
      <c r="E194" s="23"/>
      <c r="F194" s="23"/>
      <c r="G194" s="23"/>
      <c r="H194" s="31"/>
      <c r="I194" s="31"/>
      <c r="J194" s="31"/>
      <c r="K194" s="23"/>
      <c r="L194" s="5"/>
      <c r="P194" s="66"/>
      <c r="Q194" s="27"/>
    </row>
    <row r="195" spans="2:17" ht="94.5" x14ac:dyDescent="0.25">
      <c r="B195" s="5"/>
      <c r="C195" s="5"/>
      <c r="D195" s="9" t="s">
        <v>167</v>
      </c>
      <c r="E195" s="24">
        <f>E196+E197</f>
        <v>360087.5</v>
      </c>
      <c r="F195" s="24">
        <f t="shared" ref="F195:K195" si="82">F196+F197</f>
        <v>485416.9</v>
      </c>
      <c r="G195" s="24">
        <f>G196+G197</f>
        <v>509687.8</v>
      </c>
      <c r="H195" s="24">
        <f t="shared" si="82"/>
        <v>535172.1</v>
      </c>
      <c r="I195" s="24">
        <f t="shared" si="82"/>
        <v>588689.30999999994</v>
      </c>
      <c r="J195" s="24">
        <f t="shared" si="82"/>
        <v>647558.23100000003</v>
      </c>
      <c r="K195" s="24">
        <f t="shared" si="82"/>
        <v>712314.02309999999</v>
      </c>
      <c r="L195" s="5"/>
      <c r="P195" s="66"/>
      <c r="Q195" s="27"/>
    </row>
    <row r="196" spans="2:17" ht="15.75" x14ac:dyDescent="0.25">
      <c r="B196" s="5"/>
      <c r="C196" s="5"/>
      <c r="D196" s="8" t="s">
        <v>29</v>
      </c>
      <c r="E196" s="26"/>
      <c r="F196" s="26"/>
      <c r="G196" s="26"/>
      <c r="H196" s="31"/>
      <c r="I196" s="31"/>
      <c r="J196" s="31"/>
      <c r="K196" s="26"/>
      <c r="L196" s="5"/>
      <c r="P196" s="66"/>
      <c r="Q196" s="27"/>
    </row>
    <row r="197" spans="2:17" ht="15.75" x14ac:dyDescent="0.25">
      <c r="B197" s="5"/>
      <c r="C197" s="5"/>
      <c r="D197" s="8" t="s">
        <v>30</v>
      </c>
      <c r="E197" s="23">
        <f>E192</f>
        <v>360087.5</v>
      </c>
      <c r="F197" s="23">
        <f t="shared" ref="F197:K197" si="83">F192</f>
        <v>485416.9</v>
      </c>
      <c r="G197" s="23">
        <f>G192</f>
        <v>509687.8</v>
      </c>
      <c r="H197" s="23">
        <f t="shared" si="83"/>
        <v>535172.1</v>
      </c>
      <c r="I197" s="23">
        <f t="shared" si="83"/>
        <v>588689.30999999994</v>
      </c>
      <c r="J197" s="23">
        <f t="shared" si="83"/>
        <v>647558.23100000003</v>
      </c>
      <c r="K197" s="23">
        <f t="shared" si="83"/>
        <v>712314.02309999999</v>
      </c>
      <c r="L197" s="5"/>
      <c r="P197" s="66"/>
      <c r="Q197" s="27"/>
    </row>
    <row r="198" spans="2:17" ht="45" customHeight="1" x14ac:dyDescent="0.25">
      <c r="B198" s="5"/>
      <c r="C198" s="5"/>
      <c r="D198" s="110" t="s">
        <v>169</v>
      </c>
      <c r="E198" s="111"/>
      <c r="F198" s="111"/>
      <c r="G198" s="111"/>
      <c r="H198" s="111"/>
      <c r="I198" s="111"/>
      <c r="J198" s="111"/>
      <c r="K198" s="112"/>
      <c r="L198" s="36" t="s">
        <v>207</v>
      </c>
      <c r="P198" s="66"/>
      <c r="Q198" s="27"/>
    </row>
    <row r="199" spans="2:17" ht="15.75" x14ac:dyDescent="0.25">
      <c r="B199" s="5"/>
      <c r="C199" s="5"/>
      <c r="D199" s="5" t="s">
        <v>24</v>
      </c>
      <c r="E199" s="26">
        <v>5235410.3</v>
      </c>
      <c r="F199" s="26">
        <v>0</v>
      </c>
      <c r="G199" s="26">
        <v>0</v>
      </c>
      <c r="H199" s="26"/>
      <c r="I199" s="26"/>
      <c r="J199" s="26"/>
      <c r="K199" s="26"/>
      <c r="L199" s="5"/>
      <c r="P199" s="66"/>
      <c r="Q199" s="27"/>
    </row>
    <row r="200" spans="2:17" ht="31.5" x14ac:dyDescent="0.25">
      <c r="B200" s="5"/>
      <c r="C200" s="5"/>
      <c r="D200" s="9" t="s">
        <v>25</v>
      </c>
      <c r="E200" s="5"/>
      <c r="F200" s="5"/>
      <c r="G200" s="5"/>
      <c r="H200" s="33"/>
      <c r="I200" s="33"/>
      <c r="J200" s="33"/>
      <c r="K200" s="5"/>
      <c r="L200" s="5"/>
      <c r="P200" s="66"/>
      <c r="Q200" s="27"/>
    </row>
    <row r="201" spans="2:17" ht="31.5" x14ac:dyDescent="0.25">
      <c r="B201" s="5"/>
      <c r="C201" s="5"/>
      <c r="D201" s="9" t="s">
        <v>26</v>
      </c>
      <c r="E201" s="5"/>
      <c r="F201" s="5"/>
      <c r="G201" s="5"/>
      <c r="H201" s="33"/>
      <c r="I201" s="33"/>
      <c r="J201" s="33"/>
      <c r="K201" s="5"/>
      <c r="L201" s="5"/>
      <c r="P201" s="66"/>
      <c r="Q201" s="27"/>
    </row>
    <row r="202" spans="2:17" ht="15.75" x14ac:dyDescent="0.25">
      <c r="B202" s="5"/>
      <c r="C202" s="5"/>
      <c r="D202" s="5" t="s">
        <v>27</v>
      </c>
      <c r="E202" s="23"/>
      <c r="F202" s="23"/>
      <c r="G202" s="23"/>
      <c r="H202" s="31"/>
      <c r="I202" s="31"/>
      <c r="J202" s="31"/>
      <c r="K202" s="23"/>
      <c r="L202" s="5"/>
      <c r="P202" s="66"/>
      <c r="Q202" s="27"/>
    </row>
    <row r="203" spans="2:17" ht="94.5" x14ac:dyDescent="0.25">
      <c r="B203" s="5"/>
      <c r="C203" s="5"/>
      <c r="D203" s="9" t="s">
        <v>153</v>
      </c>
      <c r="E203" s="24">
        <f>E204+E205</f>
        <v>5235410.3</v>
      </c>
      <c r="F203" s="24">
        <f>F204+F205</f>
        <v>0</v>
      </c>
      <c r="G203" s="24">
        <f t="shared" ref="G203" si="84">G204+G205</f>
        <v>0</v>
      </c>
      <c r="H203" s="32">
        <f t="shared" ref="H203:J203" si="85">H204+H205</f>
        <v>0</v>
      </c>
      <c r="I203" s="32">
        <f t="shared" si="85"/>
        <v>0</v>
      </c>
      <c r="J203" s="32">
        <f t="shared" si="85"/>
        <v>0</v>
      </c>
      <c r="K203" s="24">
        <f t="shared" ref="K203" si="86">K204+K205</f>
        <v>0</v>
      </c>
      <c r="L203" s="5"/>
      <c r="P203" s="66"/>
      <c r="Q203" s="27"/>
    </row>
    <row r="204" spans="2:17" ht="15.75" x14ac:dyDescent="0.25">
      <c r="B204" s="5"/>
      <c r="C204" s="5"/>
      <c r="D204" s="8" t="s">
        <v>29</v>
      </c>
      <c r="E204" s="26">
        <f>E199</f>
        <v>5235410.3</v>
      </c>
      <c r="F204" s="26">
        <f>F199</f>
        <v>0</v>
      </c>
      <c r="G204" s="26">
        <f t="shared" ref="G204:K204" si="87">G199</f>
        <v>0</v>
      </c>
      <c r="H204" s="26">
        <f t="shared" si="87"/>
        <v>0</v>
      </c>
      <c r="I204" s="26">
        <f t="shared" ref="I204:J204" si="88">I199</f>
        <v>0</v>
      </c>
      <c r="J204" s="26">
        <f t="shared" si="88"/>
        <v>0</v>
      </c>
      <c r="K204" s="26">
        <f t="shared" si="87"/>
        <v>0</v>
      </c>
      <c r="L204" s="5"/>
      <c r="N204" s="27"/>
      <c r="P204" s="66"/>
      <c r="Q204" s="27"/>
    </row>
    <row r="205" spans="2:17" ht="15.75" x14ac:dyDescent="0.25">
      <c r="B205" s="5"/>
      <c r="C205" s="5"/>
      <c r="D205" s="8" t="s">
        <v>30</v>
      </c>
      <c r="E205" s="23"/>
      <c r="F205" s="23"/>
      <c r="G205" s="23"/>
      <c r="H205" s="31"/>
      <c r="I205" s="31"/>
      <c r="J205" s="31"/>
      <c r="K205" s="23"/>
      <c r="L205" s="5"/>
      <c r="P205" s="66"/>
      <c r="Q205" s="27"/>
    </row>
    <row r="206" spans="2:17" ht="43.5" customHeight="1" x14ac:dyDescent="0.25">
      <c r="B206" s="5"/>
      <c r="C206" s="5"/>
      <c r="D206" s="110" t="s">
        <v>170</v>
      </c>
      <c r="E206" s="111"/>
      <c r="F206" s="111"/>
      <c r="G206" s="111"/>
      <c r="H206" s="111"/>
      <c r="I206" s="111"/>
      <c r="J206" s="111"/>
      <c r="K206" s="112"/>
      <c r="L206" s="36" t="s">
        <v>212</v>
      </c>
      <c r="P206" s="66"/>
      <c r="Q206" s="27"/>
    </row>
    <row r="207" spans="2:17" ht="15.75" x14ac:dyDescent="0.25">
      <c r="B207" s="5"/>
      <c r="C207" s="5"/>
      <c r="D207" s="5" t="s">
        <v>24</v>
      </c>
      <c r="E207" s="26"/>
      <c r="F207" s="26"/>
      <c r="G207" s="26"/>
      <c r="H207" s="31"/>
      <c r="I207" s="31"/>
      <c r="J207" s="31"/>
      <c r="K207" s="26"/>
      <c r="L207" s="5"/>
      <c r="P207" s="66"/>
      <c r="Q207" s="27"/>
    </row>
    <row r="208" spans="2:17" ht="31.5" x14ac:dyDescent="0.25">
      <c r="B208" s="5"/>
      <c r="C208" s="5"/>
      <c r="D208" s="9" t="s">
        <v>25</v>
      </c>
      <c r="E208" s="5"/>
      <c r="F208" s="5"/>
      <c r="G208" s="5"/>
      <c r="H208" s="33"/>
      <c r="I208" s="33"/>
      <c r="J208" s="33"/>
      <c r="K208" s="5"/>
      <c r="L208" s="5"/>
      <c r="P208" s="66"/>
      <c r="Q208" s="27"/>
    </row>
    <row r="209" spans="2:17" ht="31.5" x14ac:dyDescent="0.25">
      <c r="B209" s="5"/>
      <c r="C209" s="5"/>
      <c r="D209" s="9" t="s">
        <v>26</v>
      </c>
      <c r="E209" s="5"/>
      <c r="F209" s="5"/>
      <c r="G209" s="5"/>
      <c r="H209" s="33"/>
      <c r="I209" s="33"/>
      <c r="J209" s="33"/>
      <c r="K209" s="5"/>
      <c r="L209" s="5"/>
      <c r="P209" s="66"/>
      <c r="Q209" s="27"/>
    </row>
    <row r="210" spans="2:17" ht="15.75" x14ac:dyDescent="0.25">
      <c r="B210" s="5"/>
      <c r="C210" s="5"/>
      <c r="D210" s="5" t="s">
        <v>27</v>
      </c>
      <c r="E210" s="23">
        <v>22400</v>
      </c>
      <c r="F210" s="23"/>
      <c r="G210" s="23"/>
      <c r="H210" s="31"/>
      <c r="I210" s="31"/>
      <c r="J210" s="31"/>
      <c r="K210" s="23"/>
      <c r="L210" s="5"/>
      <c r="P210" s="66"/>
      <c r="Q210" s="27"/>
    </row>
    <row r="211" spans="2:17" ht="47.25" x14ac:dyDescent="0.25">
      <c r="B211" s="5"/>
      <c r="C211" s="5"/>
      <c r="D211" s="9" t="s">
        <v>171</v>
      </c>
      <c r="E211" s="24">
        <f>E212+E213</f>
        <v>22400</v>
      </c>
      <c r="F211" s="24">
        <f>F212+F213</f>
        <v>0</v>
      </c>
      <c r="G211" s="24"/>
      <c r="H211" s="32"/>
      <c r="I211" s="32"/>
      <c r="J211" s="32"/>
      <c r="K211" s="24"/>
      <c r="L211" s="5"/>
      <c r="P211" s="66"/>
      <c r="Q211" s="27"/>
    </row>
    <row r="212" spans="2:17" ht="15.75" x14ac:dyDescent="0.25">
      <c r="B212" s="5"/>
      <c r="C212" s="5"/>
      <c r="D212" s="8" t="s">
        <v>29</v>
      </c>
      <c r="E212" s="26"/>
      <c r="F212" s="26"/>
      <c r="G212" s="26"/>
      <c r="H212" s="31"/>
      <c r="I212" s="31"/>
      <c r="J212" s="31"/>
      <c r="K212" s="26"/>
      <c r="L212" s="5"/>
      <c r="P212" s="66"/>
      <c r="Q212" s="27"/>
    </row>
    <row r="213" spans="2:17" ht="15.75" x14ac:dyDescent="0.25">
      <c r="B213" s="5"/>
      <c r="C213" s="5"/>
      <c r="D213" s="8" t="s">
        <v>30</v>
      </c>
      <c r="E213" s="23">
        <f>E210</f>
        <v>22400</v>
      </c>
      <c r="F213" s="23">
        <f>F210</f>
        <v>0</v>
      </c>
      <c r="G213" s="23"/>
      <c r="H213" s="31"/>
      <c r="I213" s="31"/>
      <c r="J213" s="31"/>
      <c r="K213" s="23"/>
      <c r="L213" s="5"/>
      <c r="P213" s="66"/>
      <c r="Q213" s="27"/>
    </row>
    <row r="214" spans="2:17" ht="37.5" customHeight="1" x14ac:dyDescent="0.25">
      <c r="B214" s="5"/>
      <c r="C214" s="5"/>
      <c r="D214" s="110" t="s">
        <v>172</v>
      </c>
      <c r="E214" s="111"/>
      <c r="F214" s="111"/>
      <c r="G214" s="111"/>
      <c r="H214" s="111"/>
      <c r="I214" s="111"/>
      <c r="J214" s="111"/>
      <c r="K214" s="112"/>
      <c r="L214" s="36" t="s">
        <v>213</v>
      </c>
      <c r="P214" s="66"/>
      <c r="Q214" s="27"/>
    </row>
    <row r="215" spans="2:17" ht="15.75" x14ac:dyDescent="0.25">
      <c r="B215" s="5"/>
      <c r="C215" s="5"/>
      <c r="D215" s="5" t="s">
        <v>24</v>
      </c>
      <c r="E215" s="26"/>
      <c r="F215" s="26"/>
      <c r="G215" s="26"/>
      <c r="H215" s="31"/>
      <c r="I215" s="31"/>
      <c r="J215" s="31"/>
      <c r="K215" s="26"/>
      <c r="L215" s="5"/>
      <c r="P215" s="66"/>
      <c r="Q215" s="27"/>
    </row>
    <row r="216" spans="2:17" ht="31.5" x14ac:dyDescent="0.25">
      <c r="B216" s="5"/>
      <c r="C216" s="5"/>
      <c r="D216" s="9" t="s">
        <v>25</v>
      </c>
      <c r="E216" s="5"/>
      <c r="F216" s="5"/>
      <c r="G216" s="5"/>
      <c r="H216" s="33"/>
      <c r="I216" s="33"/>
      <c r="J216" s="33"/>
      <c r="K216" s="5"/>
      <c r="L216" s="5"/>
      <c r="P216" s="66"/>
      <c r="Q216" s="27"/>
    </row>
    <row r="217" spans="2:17" ht="31.5" x14ac:dyDescent="0.25">
      <c r="B217" s="5"/>
      <c r="C217" s="5"/>
      <c r="D217" s="9" t="s">
        <v>26</v>
      </c>
      <c r="E217" s="5"/>
      <c r="F217" s="5"/>
      <c r="G217" s="5"/>
      <c r="H217" s="33"/>
      <c r="I217" s="33"/>
      <c r="J217" s="33"/>
      <c r="K217" s="5"/>
      <c r="L217" s="5"/>
      <c r="P217" s="66"/>
      <c r="Q217" s="27"/>
    </row>
    <row r="218" spans="2:17" ht="15.75" x14ac:dyDescent="0.25">
      <c r="B218" s="5"/>
      <c r="C218" s="5"/>
      <c r="D218" s="5" t="s">
        <v>27</v>
      </c>
      <c r="E218" s="23">
        <v>19000</v>
      </c>
      <c r="F218" s="23"/>
      <c r="G218" s="23"/>
      <c r="H218" s="31"/>
      <c r="I218" s="31"/>
      <c r="J218" s="31"/>
      <c r="K218" s="23"/>
      <c r="L218" s="5"/>
      <c r="P218" s="66"/>
      <c r="Q218" s="27"/>
    </row>
    <row r="219" spans="2:17" ht="47.25" x14ac:dyDescent="0.25">
      <c r="B219" s="5"/>
      <c r="C219" s="5"/>
      <c r="D219" s="9" t="s">
        <v>173</v>
      </c>
      <c r="E219" s="24">
        <f>E220+E221</f>
        <v>19000</v>
      </c>
      <c r="F219" s="24"/>
      <c r="G219" s="24"/>
      <c r="H219" s="32"/>
      <c r="I219" s="32"/>
      <c r="J219" s="32"/>
      <c r="K219" s="24"/>
      <c r="L219" s="5"/>
      <c r="P219" s="66"/>
      <c r="Q219" s="27"/>
    </row>
    <row r="220" spans="2:17" ht="15.75" x14ac:dyDescent="0.25">
      <c r="B220" s="5"/>
      <c r="C220" s="5"/>
      <c r="D220" s="8" t="s">
        <v>29</v>
      </c>
      <c r="E220" s="26"/>
      <c r="F220" s="26"/>
      <c r="G220" s="26"/>
      <c r="H220" s="31"/>
      <c r="I220" s="31"/>
      <c r="J220" s="31"/>
      <c r="K220" s="26"/>
      <c r="L220" s="5"/>
      <c r="P220" s="66"/>
      <c r="Q220" s="27"/>
    </row>
    <row r="221" spans="2:17" ht="15.75" x14ac:dyDescent="0.25">
      <c r="B221" s="5"/>
      <c r="C221" s="5"/>
      <c r="D221" s="8" t="s">
        <v>30</v>
      </c>
      <c r="E221" s="23">
        <f>E218</f>
        <v>19000</v>
      </c>
      <c r="F221" s="23"/>
      <c r="G221" s="23"/>
      <c r="H221" s="31"/>
      <c r="I221" s="31"/>
      <c r="J221" s="31"/>
      <c r="K221" s="23"/>
      <c r="L221" s="5"/>
      <c r="P221" s="66"/>
      <c r="Q221" s="27"/>
    </row>
    <row r="222" spans="2:17" ht="29.25" customHeight="1" x14ac:dyDescent="0.25">
      <c r="B222" s="5"/>
      <c r="C222" s="5"/>
      <c r="D222" s="110" t="s">
        <v>174</v>
      </c>
      <c r="E222" s="111"/>
      <c r="F222" s="111"/>
      <c r="G222" s="111"/>
      <c r="H222" s="111"/>
      <c r="I222" s="111"/>
      <c r="J222" s="111"/>
      <c r="K222" s="112"/>
      <c r="L222" s="36" t="s">
        <v>213</v>
      </c>
      <c r="P222" s="66"/>
      <c r="Q222" s="27"/>
    </row>
    <row r="223" spans="2:17" ht="15.75" x14ac:dyDescent="0.25">
      <c r="B223" s="5"/>
      <c r="C223" s="5"/>
      <c r="D223" s="5" t="s">
        <v>24</v>
      </c>
      <c r="E223" s="26"/>
      <c r="F223" s="26"/>
      <c r="G223" s="26"/>
      <c r="H223" s="31"/>
      <c r="I223" s="31"/>
      <c r="J223" s="31"/>
      <c r="K223" s="26"/>
      <c r="L223" s="5"/>
      <c r="P223" s="66"/>
      <c r="Q223" s="27"/>
    </row>
    <row r="224" spans="2:17" ht="31.5" x14ac:dyDescent="0.25">
      <c r="B224" s="5"/>
      <c r="C224" s="5"/>
      <c r="D224" s="9" t="s">
        <v>25</v>
      </c>
      <c r="E224" s="5"/>
      <c r="F224" s="5"/>
      <c r="G224" s="5"/>
      <c r="H224" s="33"/>
      <c r="I224" s="33"/>
      <c r="J224" s="33"/>
      <c r="K224" s="5"/>
      <c r="L224" s="5"/>
      <c r="P224" s="66"/>
      <c r="Q224" s="27"/>
    </row>
    <row r="225" spans="2:17" ht="31.5" x14ac:dyDescent="0.25">
      <c r="B225" s="5"/>
      <c r="C225" s="5"/>
      <c r="D225" s="9" t="s">
        <v>26</v>
      </c>
      <c r="E225" s="5"/>
      <c r="F225" s="5"/>
      <c r="G225" s="5"/>
      <c r="H225" s="33"/>
      <c r="I225" s="33"/>
      <c r="J225" s="33"/>
      <c r="K225" s="5"/>
      <c r="L225" s="5"/>
      <c r="P225" s="66"/>
      <c r="Q225" s="27"/>
    </row>
    <row r="226" spans="2:17" ht="15.75" x14ac:dyDescent="0.25">
      <c r="B226" s="5"/>
      <c r="C226" s="5"/>
      <c r="D226" s="5" t="s">
        <v>27</v>
      </c>
      <c r="E226" s="23">
        <v>23000</v>
      </c>
      <c r="F226" s="23">
        <v>10000</v>
      </c>
      <c r="G226" s="23"/>
      <c r="H226" s="31"/>
      <c r="I226" s="31"/>
      <c r="J226" s="31"/>
      <c r="K226" s="23"/>
      <c r="L226" s="5"/>
      <c r="P226" s="66"/>
      <c r="Q226" s="27"/>
    </row>
    <row r="227" spans="2:17" ht="31.5" x14ac:dyDescent="0.25">
      <c r="B227" s="5"/>
      <c r="C227" s="5"/>
      <c r="D227" s="9" t="s">
        <v>175</v>
      </c>
      <c r="E227" s="24">
        <f>E228+E229</f>
        <v>23000</v>
      </c>
      <c r="F227" s="68">
        <f>F228+F229</f>
        <v>10000</v>
      </c>
      <c r="G227" s="24"/>
      <c r="H227" s="32"/>
      <c r="I227" s="32"/>
      <c r="J227" s="32"/>
      <c r="K227" s="24"/>
      <c r="L227" s="5"/>
      <c r="P227" s="66"/>
      <c r="Q227" s="27"/>
    </row>
    <row r="228" spans="2:17" ht="15.75" x14ac:dyDescent="0.25">
      <c r="B228" s="5"/>
      <c r="C228" s="5"/>
      <c r="D228" s="8" t="s">
        <v>29</v>
      </c>
      <c r="E228" s="26"/>
      <c r="F228" s="26"/>
      <c r="G228" s="26"/>
      <c r="H228" s="31"/>
      <c r="I228" s="31"/>
      <c r="J228" s="31"/>
      <c r="K228" s="26"/>
      <c r="L228" s="5"/>
      <c r="P228" s="66"/>
      <c r="Q228" s="27"/>
    </row>
    <row r="229" spans="2:17" ht="15.75" x14ac:dyDescent="0.25">
      <c r="B229" s="5"/>
      <c r="C229" s="5"/>
      <c r="D229" s="8" t="s">
        <v>30</v>
      </c>
      <c r="E229" s="23">
        <f>E226</f>
        <v>23000</v>
      </c>
      <c r="F229" s="23">
        <f>F226</f>
        <v>10000</v>
      </c>
      <c r="G229" s="23"/>
      <c r="H229" s="31"/>
      <c r="I229" s="31"/>
      <c r="J229" s="31"/>
      <c r="K229" s="23"/>
      <c r="L229" s="5"/>
      <c r="P229" s="66"/>
      <c r="Q229" s="27"/>
    </row>
    <row r="230" spans="2:17" ht="72.75" customHeight="1" x14ac:dyDescent="0.25">
      <c r="B230" s="10" t="s">
        <v>33</v>
      </c>
      <c r="C230" s="5"/>
      <c r="D230" s="81" t="s">
        <v>214</v>
      </c>
      <c r="E230" s="86"/>
      <c r="F230" s="86"/>
      <c r="G230" s="86"/>
      <c r="H230" s="86"/>
      <c r="I230" s="86"/>
      <c r="J230" s="86"/>
      <c r="K230" s="82"/>
      <c r="L230" s="36" t="s">
        <v>215</v>
      </c>
      <c r="P230" s="66"/>
      <c r="Q230" s="27"/>
    </row>
    <row r="231" spans="2:17" ht="15.75" x14ac:dyDescent="0.25">
      <c r="B231" s="5"/>
      <c r="C231" s="5"/>
      <c r="D231" s="5" t="s">
        <v>24</v>
      </c>
      <c r="E231" s="23">
        <f>E239+E247+E255</f>
        <v>2230800</v>
      </c>
      <c r="F231" s="23">
        <f t="shared" ref="F231:K231" si="89">F239+F247+F255</f>
        <v>2230800</v>
      </c>
      <c r="G231" s="23">
        <f t="shared" si="89"/>
        <v>2230800</v>
      </c>
      <c r="H231" s="23">
        <f t="shared" si="89"/>
        <v>3464838</v>
      </c>
      <c r="I231" s="23">
        <f t="shared" si="89"/>
        <v>3769038</v>
      </c>
      <c r="J231" s="23">
        <f t="shared" si="89"/>
        <v>4073238</v>
      </c>
      <c r="K231" s="23">
        <f t="shared" si="89"/>
        <v>4377438</v>
      </c>
      <c r="L231" s="5"/>
      <c r="P231" s="66"/>
      <c r="Q231" s="27"/>
    </row>
    <row r="232" spans="2:17" ht="31.5" x14ac:dyDescent="0.25">
      <c r="B232" s="5"/>
      <c r="C232" s="5"/>
      <c r="D232" s="9" t="s">
        <v>25</v>
      </c>
      <c r="E232" s="23">
        <f t="shared" ref="E232:K234" si="90">E240+E248+E256</f>
        <v>0</v>
      </c>
      <c r="F232" s="23">
        <f t="shared" si="90"/>
        <v>0</v>
      </c>
      <c r="G232" s="23">
        <f t="shared" si="90"/>
        <v>0</v>
      </c>
      <c r="H232" s="23">
        <f t="shared" si="90"/>
        <v>0</v>
      </c>
      <c r="I232" s="23">
        <f t="shared" si="90"/>
        <v>0</v>
      </c>
      <c r="J232" s="23">
        <f t="shared" si="90"/>
        <v>0</v>
      </c>
      <c r="K232" s="23">
        <f t="shared" si="90"/>
        <v>0</v>
      </c>
      <c r="L232" s="5"/>
      <c r="P232" s="66"/>
      <c r="Q232" s="27"/>
    </row>
    <row r="233" spans="2:17" ht="31.5" x14ac:dyDescent="0.25">
      <c r="B233" s="5"/>
      <c r="C233" s="5"/>
      <c r="D233" s="9" t="s">
        <v>26</v>
      </c>
      <c r="E233" s="23">
        <f t="shared" si="90"/>
        <v>0</v>
      </c>
      <c r="F233" s="23">
        <f t="shared" si="90"/>
        <v>0</v>
      </c>
      <c r="G233" s="23">
        <f t="shared" si="90"/>
        <v>0</v>
      </c>
      <c r="H233" s="23">
        <f t="shared" si="90"/>
        <v>0</v>
      </c>
      <c r="I233" s="23">
        <f t="shared" si="90"/>
        <v>0</v>
      </c>
      <c r="J233" s="23">
        <f t="shared" si="90"/>
        <v>0</v>
      </c>
      <c r="K233" s="23">
        <f t="shared" si="90"/>
        <v>0</v>
      </c>
      <c r="L233" s="5"/>
      <c r="P233" s="66"/>
      <c r="Q233" s="27"/>
    </row>
    <row r="234" spans="2:17" ht="15.75" x14ac:dyDescent="0.25">
      <c r="B234" s="5"/>
      <c r="C234" s="5"/>
      <c r="D234" s="5" t="s">
        <v>27</v>
      </c>
      <c r="E234" s="23">
        <f t="shared" si="90"/>
        <v>375842.9</v>
      </c>
      <c r="F234" s="23">
        <f t="shared" si="90"/>
        <v>491889.1</v>
      </c>
      <c r="G234" s="23">
        <f t="shared" si="90"/>
        <v>578814</v>
      </c>
      <c r="H234" s="23">
        <f t="shared" si="90"/>
        <v>605091.1</v>
      </c>
      <c r="I234" s="23">
        <f t="shared" si="90"/>
        <v>665600.21</v>
      </c>
      <c r="J234" s="23">
        <f t="shared" si="90"/>
        <v>732160.22100000002</v>
      </c>
      <c r="K234" s="23">
        <f t="shared" si="90"/>
        <v>805376.22210000001</v>
      </c>
      <c r="L234" s="5"/>
      <c r="P234" s="66"/>
      <c r="Q234" s="27"/>
    </row>
    <row r="235" spans="2:17" ht="47.25" x14ac:dyDescent="0.25">
      <c r="B235" s="5"/>
      <c r="C235" s="5"/>
      <c r="D235" s="9" t="s">
        <v>28</v>
      </c>
      <c r="E235" s="24">
        <f>E236+E237</f>
        <v>2606642.9</v>
      </c>
      <c r="F235" s="24">
        <f t="shared" ref="F235:H235" si="91">F236+F237</f>
        <v>2722689.1</v>
      </c>
      <c r="G235" s="24">
        <f t="shared" si="91"/>
        <v>2809614</v>
      </c>
      <c r="H235" s="24">
        <f t="shared" si="91"/>
        <v>4069929.1</v>
      </c>
      <c r="I235" s="24">
        <f t="shared" ref="I235:J235" si="92">I236+I237</f>
        <v>4434638.21</v>
      </c>
      <c r="J235" s="24">
        <f t="shared" si="92"/>
        <v>4805398.2209999999</v>
      </c>
      <c r="K235" s="24">
        <f>K236+K237</f>
        <v>5182814.2220999999</v>
      </c>
      <c r="L235" s="5"/>
      <c r="P235" s="66"/>
      <c r="Q235" s="27"/>
    </row>
    <row r="236" spans="2:17" ht="15.75" x14ac:dyDescent="0.25">
      <c r="B236" s="5"/>
      <c r="C236" s="5"/>
      <c r="D236" s="8" t="s">
        <v>29</v>
      </c>
      <c r="E236" s="23">
        <f>E231</f>
        <v>2230800</v>
      </c>
      <c r="F236" s="23">
        <f t="shared" ref="F236:K236" si="93">F231</f>
        <v>2230800</v>
      </c>
      <c r="G236" s="23">
        <f t="shared" si="93"/>
        <v>2230800</v>
      </c>
      <c r="H236" s="23">
        <f t="shared" si="93"/>
        <v>3464838</v>
      </c>
      <c r="I236" s="23">
        <f t="shared" si="93"/>
        <v>3769038</v>
      </c>
      <c r="J236" s="23">
        <f t="shared" si="93"/>
        <v>4073238</v>
      </c>
      <c r="K236" s="23">
        <f t="shared" si="93"/>
        <v>4377438</v>
      </c>
      <c r="L236" s="5"/>
      <c r="P236" s="66"/>
      <c r="Q236" s="27"/>
    </row>
    <row r="237" spans="2:17" ht="15.75" x14ac:dyDescent="0.25">
      <c r="B237" s="5"/>
      <c r="C237" s="5"/>
      <c r="D237" s="8" t="s">
        <v>30</v>
      </c>
      <c r="E237" s="23">
        <f>E234</f>
        <v>375842.9</v>
      </c>
      <c r="F237" s="23">
        <f t="shared" ref="F237:K237" si="94">F234</f>
        <v>491889.1</v>
      </c>
      <c r="G237" s="23">
        <f t="shared" si="94"/>
        <v>578814</v>
      </c>
      <c r="H237" s="23">
        <f t="shared" si="94"/>
        <v>605091.1</v>
      </c>
      <c r="I237" s="23">
        <f t="shared" si="94"/>
        <v>665600.21</v>
      </c>
      <c r="J237" s="23">
        <f t="shared" si="94"/>
        <v>732160.22100000002</v>
      </c>
      <c r="K237" s="23">
        <f t="shared" si="94"/>
        <v>805376.22210000001</v>
      </c>
      <c r="L237" s="5"/>
      <c r="P237" s="66"/>
      <c r="Q237" s="27"/>
    </row>
    <row r="238" spans="2:17" ht="129.75" customHeight="1" x14ac:dyDescent="0.25">
      <c r="B238" s="5"/>
      <c r="C238" s="5"/>
      <c r="D238" s="110" t="s">
        <v>176</v>
      </c>
      <c r="E238" s="111"/>
      <c r="F238" s="111"/>
      <c r="G238" s="111"/>
      <c r="H238" s="111"/>
      <c r="I238" s="111"/>
      <c r="J238" s="111"/>
      <c r="K238" s="112"/>
      <c r="L238" s="36" t="s">
        <v>216</v>
      </c>
      <c r="P238" s="66"/>
      <c r="Q238" s="27"/>
    </row>
    <row r="239" spans="2:17" ht="15.75" x14ac:dyDescent="0.25">
      <c r="B239" s="5"/>
      <c r="C239" s="5"/>
      <c r="D239" s="5" t="s">
        <v>24</v>
      </c>
      <c r="E239" s="26">
        <v>2230800</v>
      </c>
      <c r="F239" s="26">
        <v>2230800</v>
      </c>
      <c r="G239" s="26">
        <v>2230800</v>
      </c>
      <c r="H239" s="26">
        <v>3464838</v>
      </c>
      <c r="I239" s="26">
        <v>3769038</v>
      </c>
      <c r="J239" s="26">
        <v>4073238</v>
      </c>
      <c r="K239" s="26">
        <v>4377438</v>
      </c>
      <c r="L239" s="5"/>
      <c r="P239" s="66"/>
      <c r="Q239" s="27"/>
    </row>
    <row r="240" spans="2:17" ht="31.5" x14ac:dyDescent="0.25">
      <c r="B240" s="5"/>
      <c r="C240" s="5"/>
      <c r="D240" s="9" t="s">
        <v>25</v>
      </c>
      <c r="E240" s="5"/>
      <c r="F240" s="5"/>
      <c r="G240" s="5"/>
      <c r="H240" s="33"/>
      <c r="I240" s="33"/>
      <c r="J240" s="33"/>
      <c r="K240" s="5"/>
      <c r="L240" s="5"/>
      <c r="P240" s="66"/>
      <c r="Q240" s="27"/>
    </row>
    <row r="241" spans="2:17" ht="31.5" x14ac:dyDescent="0.25">
      <c r="B241" s="5"/>
      <c r="C241" s="5"/>
      <c r="D241" s="9" t="s">
        <v>26</v>
      </c>
      <c r="E241" s="5"/>
      <c r="F241" s="5"/>
      <c r="G241" s="5"/>
      <c r="H241" s="33"/>
      <c r="I241" s="33"/>
      <c r="J241" s="33"/>
      <c r="K241" s="5"/>
      <c r="L241" s="5"/>
      <c r="P241" s="66"/>
      <c r="Q241" s="27"/>
    </row>
    <row r="242" spans="2:17" ht="15.75" x14ac:dyDescent="0.25">
      <c r="B242" s="5"/>
      <c r="C242" s="5"/>
      <c r="D242" s="5" t="s">
        <v>27</v>
      </c>
      <c r="E242" s="23"/>
      <c r="F242" s="23"/>
      <c r="G242" s="23"/>
      <c r="H242" s="31"/>
      <c r="I242" s="31"/>
      <c r="J242" s="31"/>
      <c r="K242" s="23"/>
      <c r="L242" s="5"/>
      <c r="P242" s="66"/>
      <c r="Q242" s="27"/>
    </row>
    <row r="243" spans="2:17" ht="126" x14ac:dyDescent="0.25">
      <c r="B243" s="5"/>
      <c r="C243" s="5"/>
      <c r="D243" s="9" t="s">
        <v>177</v>
      </c>
      <c r="E243" s="24">
        <f>E244+E245</f>
        <v>2230800</v>
      </c>
      <c r="F243" s="24">
        <f t="shared" ref="F243:K243" si="95">F244+F245</f>
        <v>2230800</v>
      </c>
      <c r="G243" s="24">
        <f t="shared" si="95"/>
        <v>2230800</v>
      </c>
      <c r="H243" s="24">
        <f t="shared" si="95"/>
        <v>3464838</v>
      </c>
      <c r="I243" s="24">
        <f t="shared" si="95"/>
        <v>3769038</v>
      </c>
      <c r="J243" s="24">
        <f t="shared" si="95"/>
        <v>4073238</v>
      </c>
      <c r="K243" s="24">
        <f t="shared" si="95"/>
        <v>4377438</v>
      </c>
      <c r="L243" s="5"/>
      <c r="P243" s="66"/>
      <c r="Q243" s="27"/>
    </row>
    <row r="244" spans="2:17" ht="15.75" x14ac:dyDescent="0.25">
      <c r="B244" s="5"/>
      <c r="C244" s="5"/>
      <c r="D244" s="8" t="s">
        <v>29</v>
      </c>
      <c r="E244" s="26">
        <f>E239</f>
        <v>2230800</v>
      </c>
      <c r="F244" s="26">
        <f t="shared" ref="F244:K244" si="96">F239</f>
        <v>2230800</v>
      </c>
      <c r="G244" s="26">
        <f t="shared" si="96"/>
        <v>2230800</v>
      </c>
      <c r="H244" s="26">
        <f t="shared" si="96"/>
        <v>3464838</v>
      </c>
      <c r="I244" s="26">
        <f t="shared" si="96"/>
        <v>3769038</v>
      </c>
      <c r="J244" s="26">
        <f t="shared" si="96"/>
        <v>4073238</v>
      </c>
      <c r="K244" s="26">
        <f t="shared" si="96"/>
        <v>4377438</v>
      </c>
      <c r="L244" s="5"/>
      <c r="P244" s="66"/>
      <c r="Q244" s="27"/>
    </row>
    <row r="245" spans="2:17" ht="15.75" x14ac:dyDescent="0.25">
      <c r="B245" s="5"/>
      <c r="C245" s="5"/>
      <c r="D245" s="8" t="s">
        <v>30</v>
      </c>
      <c r="E245" s="23"/>
      <c r="F245" s="23"/>
      <c r="G245" s="23"/>
      <c r="H245" s="31"/>
      <c r="I245" s="31"/>
      <c r="J245" s="31"/>
      <c r="K245" s="23"/>
      <c r="L245" s="5"/>
      <c r="P245" s="66"/>
      <c r="Q245" s="27"/>
    </row>
    <row r="246" spans="2:17" ht="129" customHeight="1" x14ac:dyDescent="0.25">
      <c r="B246" s="5"/>
      <c r="C246" s="5"/>
      <c r="D246" s="110" t="s">
        <v>178</v>
      </c>
      <c r="E246" s="111"/>
      <c r="F246" s="111"/>
      <c r="G246" s="111"/>
      <c r="H246" s="111"/>
      <c r="I246" s="111"/>
      <c r="J246" s="111"/>
      <c r="K246" s="112"/>
      <c r="L246" s="36" t="s">
        <v>217</v>
      </c>
      <c r="P246" s="66"/>
      <c r="Q246" s="27"/>
    </row>
    <row r="247" spans="2:17" ht="15.75" x14ac:dyDescent="0.25">
      <c r="B247" s="5"/>
      <c r="C247" s="5"/>
      <c r="D247" s="5" t="s">
        <v>24</v>
      </c>
      <c r="E247" s="26"/>
      <c r="F247" s="26"/>
      <c r="G247" s="26"/>
      <c r="H247" s="31"/>
      <c r="I247" s="31"/>
      <c r="J247" s="31"/>
      <c r="K247" s="31"/>
      <c r="L247" s="5"/>
      <c r="P247" s="66"/>
      <c r="Q247" s="27"/>
    </row>
    <row r="248" spans="2:17" ht="31.5" x14ac:dyDescent="0.25">
      <c r="B248" s="5"/>
      <c r="C248" s="5"/>
      <c r="D248" s="9" t="s">
        <v>25</v>
      </c>
      <c r="E248" s="5"/>
      <c r="F248" s="5"/>
      <c r="G248" s="5"/>
      <c r="H248" s="33"/>
      <c r="I248" s="33"/>
      <c r="J248" s="33"/>
      <c r="K248" s="5"/>
      <c r="L248" s="5"/>
      <c r="P248" s="66"/>
      <c r="Q248" s="27"/>
    </row>
    <row r="249" spans="2:17" ht="31.5" x14ac:dyDescent="0.25">
      <c r="B249" s="5"/>
      <c r="C249" s="5"/>
      <c r="D249" s="9" t="s">
        <v>26</v>
      </c>
      <c r="E249" s="5"/>
      <c r="F249" s="5"/>
      <c r="G249" s="5"/>
      <c r="H249" s="33"/>
      <c r="I249" s="33"/>
      <c r="J249" s="33"/>
      <c r="K249" s="5"/>
      <c r="L249" s="5"/>
      <c r="P249" s="66"/>
      <c r="Q249" s="27"/>
    </row>
    <row r="250" spans="2:17" ht="15.75" x14ac:dyDescent="0.25">
      <c r="B250" s="5"/>
      <c r="C250" s="5"/>
      <c r="D250" s="5" t="s">
        <v>27</v>
      </c>
      <c r="E250" s="26">
        <v>325842.90000000002</v>
      </c>
      <c r="F250" s="26">
        <v>391889.1</v>
      </c>
      <c r="G250" s="26">
        <v>408814</v>
      </c>
      <c r="H250" s="31">
        <v>425091.1</v>
      </c>
      <c r="I250" s="26">
        <f>(H250*10%)+425091.1</f>
        <v>467600.20999999996</v>
      </c>
      <c r="J250" s="26">
        <f>(I250*10%)+467600.2</f>
        <v>514360.22100000002</v>
      </c>
      <c r="K250" s="26">
        <f>(J250*10%)+514360.2</f>
        <v>565796.22210000001</v>
      </c>
      <c r="L250" s="5"/>
      <c r="P250" s="66"/>
      <c r="Q250" s="27"/>
    </row>
    <row r="251" spans="2:17" ht="104.25" customHeight="1" x14ac:dyDescent="0.25">
      <c r="B251" s="5"/>
      <c r="C251" s="5"/>
      <c r="D251" s="9" t="s">
        <v>179</v>
      </c>
      <c r="E251" s="24">
        <f>E252+E253</f>
        <v>325842.90000000002</v>
      </c>
      <c r="F251" s="24">
        <f t="shared" ref="F251:K251" si="97">F252+F253</f>
        <v>391889.1</v>
      </c>
      <c r="G251" s="24">
        <f t="shared" si="97"/>
        <v>408814</v>
      </c>
      <c r="H251" s="24">
        <f>H252+H253</f>
        <v>425091.1</v>
      </c>
      <c r="I251" s="24">
        <f t="shared" si="97"/>
        <v>467600.20999999996</v>
      </c>
      <c r="J251" s="24">
        <f t="shared" si="97"/>
        <v>514360.22100000002</v>
      </c>
      <c r="K251" s="24">
        <f t="shared" si="97"/>
        <v>565796.22210000001</v>
      </c>
      <c r="L251" s="5"/>
      <c r="P251" s="66"/>
      <c r="Q251" s="27"/>
    </row>
    <row r="252" spans="2:17" ht="15.75" x14ac:dyDescent="0.25">
      <c r="B252" s="5"/>
      <c r="C252" s="5"/>
      <c r="D252" s="8" t="s">
        <v>29</v>
      </c>
      <c r="E252" s="26"/>
      <c r="F252" s="26"/>
      <c r="G252" s="26"/>
      <c r="H252" s="26"/>
      <c r="I252" s="26"/>
      <c r="J252" s="26"/>
      <c r="K252" s="26"/>
      <c r="L252" s="5"/>
      <c r="P252" s="66"/>
      <c r="Q252" s="27"/>
    </row>
    <row r="253" spans="2:17" ht="15.75" x14ac:dyDescent="0.25">
      <c r="B253" s="5"/>
      <c r="C253" s="5"/>
      <c r="D253" s="8" t="s">
        <v>30</v>
      </c>
      <c r="E253" s="23">
        <f>E250</f>
        <v>325842.90000000002</v>
      </c>
      <c r="F253" s="23">
        <f t="shared" ref="F253:K253" si="98">F250</f>
        <v>391889.1</v>
      </c>
      <c r="G253" s="23">
        <f t="shared" si="98"/>
        <v>408814</v>
      </c>
      <c r="H253" s="23">
        <f t="shared" si="98"/>
        <v>425091.1</v>
      </c>
      <c r="I253" s="23">
        <f t="shared" si="98"/>
        <v>467600.20999999996</v>
      </c>
      <c r="J253" s="23">
        <f t="shared" si="98"/>
        <v>514360.22100000002</v>
      </c>
      <c r="K253" s="23">
        <f t="shared" si="98"/>
        <v>565796.22210000001</v>
      </c>
      <c r="L253" s="5"/>
      <c r="P253" s="66"/>
      <c r="Q253" s="27"/>
    </row>
    <row r="254" spans="2:17" ht="51.75" customHeight="1" x14ac:dyDescent="0.25">
      <c r="B254" s="5"/>
      <c r="C254" s="5"/>
      <c r="D254" s="110" t="s">
        <v>180</v>
      </c>
      <c r="E254" s="111"/>
      <c r="F254" s="111"/>
      <c r="G254" s="111"/>
      <c r="H254" s="111"/>
      <c r="I254" s="111"/>
      <c r="J254" s="111"/>
      <c r="K254" s="112"/>
      <c r="L254" s="36" t="s">
        <v>218</v>
      </c>
      <c r="P254" s="66"/>
      <c r="Q254" s="27"/>
    </row>
    <row r="255" spans="2:17" ht="15.75" x14ac:dyDescent="0.25">
      <c r="B255" s="5"/>
      <c r="C255" s="5"/>
      <c r="D255" s="5" t="s">
        <v>24</v>
      </c>
      <c r="E255" s="26"/>
      <c r="F255" s="26"/>
      <c r="G255" s="26"/>
      <c r="H255" s="31"/>
      <c r="I255" s="31"/>
      <c r="J255" s="31"/>
      <c r="K255" s="31"/>
      <c r="L255" s="5"/>
      <c r="P255" s="66"/>
      <c r="Q255" s="27"/>
    </row>
    <row r="256" spans="2:17" ht="31.5" x14ac:dyDescent="0.25">
      <c r="B256" s="5"/>
      <c r="C256" s="5"/>
      <c r="D256" s="9" t="s">
        <v>25</v>
      </c>
      <c r="E256" s="5"/>
      <c r="F256" s="5"/>
      <c r="G256" s="5"/>
      <c r="H256" s="33"/>
      <c r="I256" s="33"/>
      <c r="J256" s="33"/>
      <c r="K256" s="5"/>
      <c r="L256" s="5"/>
      <c r="P256" s="66"/>
      <c r="Q256" s="27"/>
    </row>
    <row r="257" spans="2:17" ht="31.5" x14ac:dyDescent="0.25">
      <c r="B257" s="5"/>
      <c r="C257" s="5"/>
      <c r="D257" s="9" t="s">
        <v>26</v>
      </c>
      <c r="E257" s="5"/>
      <c r="F257" s="5"/>
      <c r="G257" s="5"/>
      <c r="H257" s="33"/>
      <c r="I257" s="33"/>
      <c r="J257" s="33"/>
      <c r="K257" s="5"/>
      <c r="L257" s="5"/>
      <c r="P257" s="66"/>
      <c r="Q257" s="27"/>
    </row>
    <row r="258" spans="2:17" ht="15.75" x14ac:dyDescent="0.25">
      <c r="B258" s="5"/>
      <c r="C258" s="5"/>
      <c r="D258" s="5" t="s">
        <v>27</v>
      </c>
      <c r="E258" s="26">
        <v>50000</v>
      </c>
      <c r="F258" s="26">
        <v>100000</v>
      </c>
      <c r="G258" s="26">
        <v>170000</v>
      </c>
      <c r="H258" s="31">
        <v>180000</v>
      </c>
      <c r="I258" s="26">
        <f>(H258*10%)+180000</f>
        <v>198000</v>
      </c>
      <c r="J258" s="26">
        <f>(I258*10%)+198000</f>
        <v>217800</v>
      </c>
      <c r="K258" s="26">
        <f>(J258*10%)+217800</f>
        <v>239580</v>
      </c>
      <c r="L258" s="5"/>
      <c r="P258" s="66"/>
      <c r="Q258" s="27"/>
    </row>
    <row r="259" spans="2:17" ht="78.75" x14ac:dyDescent="0.25">
      <c r="B259" s="5"/>
      <c r="C259" s="5"/>
      <c r="D259" s="9" t="s">
        <v>181</v>
      </c>
      <c r="E259" s="24">
        <f>E260+E261</f>
        <v>50000</v>
      </c>
      <c r="F259" s="24">
        <f t="shared" ref="F259:K259" si="99">F260+F261</f>
        <v>100000</v>
      </c>
      <c r="G259" s="24">
        <f t="shared" si="99"/>
        <v>170000</v>
      </c>
      <c r="H259" s="24">
        <f>H260+H261</f>
        <v>180000</v>
      </c>
      <c r="I259" s="24">
        <f t="shared" si="99"/>
        <v>198000</v>
      </c>
      <c r="J259" s="24">
        <f t="shared" si="99"/>
        <v>217800</v>
      </c>
      <c r="K259" s="24">
        <f t="shared" si="99"/>
        <v>239580</v>
      </c>
      <c r="L259" s="5"/>
      <c r="P259" s="66"/>
      <c r="Q259" s="27"/>
    </row>
    <row r="260" spans="2:17" ht="15.75" x14ac:dyDescent="0.25">
      <c r="B260" s="5"/>
      <c r="C260" s="5"/>
      <c r="D260" s="8" t="s">
        <v>29</v>
      </c>
      <c r="E260" s="26"/>
      <c r="F260" s="26"/>
      <c r="G260" s="26"/>
      <c r="H260" s="26"/>
      <c r="I260" s="26"/>
      <c r="J260" s="26"/>
      <c r="K260" s="26"/>
      <c r="L260" s="5"/>
      <c r="P260" s="66"/>
      <c r="Q260" s="27"/>
    </row>
    <row r="261" spans="2:17" ht="15.75" x14ac:dyDescent="0.25">
      <c r="B261" s="5"/>
      <c r="C261" s="5"/>
      <c r="D261" s="8" t="s">
        <v>30</v>
      </c>
      <c r="E261" s="23">
        <f>E258</f>
        <v>50000</v>
      </c>
      <c r="F261" s="23">
        <f t="shared" ref="F261:K261" si="100">F258</f>
        <v>100000</v>
      </c>
      <c r="G261" s="23">
        <f t="shared" si="100"/>
        <v>170000</v>
      </c>
      <c r="H261" s="23">
        <f t="shared" si="100"/>
        <v>180000</v>
      </c>
      <c r="I261" s="23">
        <f t="shared" si="100"/>
        <v>198000</v>
      </c>
      <c r="J261" s="23">
        <f t="shared" si="100"/>
        <v>217800</v>
      </c>
      <c r="K261" s="23">
        <f t="shared" si="100"/>
        <v>239580</v>
      </c>
      <c r="L261" s="5"/>
      <c r="P261" s="66"/>
      <c r="Q261" s="27"/>
    </row>
    <row r="262" spans="2:17" ht="15.75" x14ac:dyDescent="0.25">
      <c r="B262" s="5"/>
      <c r="C262" s="5"/>
      <c r="D262" s="110" t="s">
        <v>184</v>
      </c>
      <c r="E262" s="111"/>
      <c r="F262" s="111"/>
      <c r="G262" s="111"/>
      <c r="H262" s="111"/>
      <c r="I262" s="111"/>
      <c r="J262" s="111"/>
      <c r="K262" s="112"/>
      <c r="L262" s="5"/>
      <c r="P262" s="66"/>
      <c r="Q262" s="27"/>
    </row>
    <row r="263" spans="2:17" ht="15.75" x14ac:dyDescent="0.25">
      <c r="B263" s="5"/>
      <c r="C263" s="5"/>
      <c r="D263" s="5" t="s">
        <v>24</v>
      </c>
      <c r="E263" s="26">
        <f>E15+E39+E135+E231</f>
        <v>23252094.199999999</v>
      </c>
      <c r="F263" s="26">
        <f t="shared" ref="F263:K263" si="101">F15+F39+F135+F231</f>
        <v>26932357</v>
      </c>
      <c r="G263" s="26">
        <f t="shared" si="101"/>
        <v>28262471.399999999</v>
      </c>
      <c r="H263" s="26">
        <f t="shared" si="101"/>
        <v>30022607.59</v>
      </c>
      <c r="I263" s="26">
        <f t="shared" si="101"/>
        <v>32982624.559</v>
      </c>
      <c r="J263" s="26">
        <f t="shared" si="101"/>
        <v>36208183.155900002</v>
      </c>
      <c r="K263" s="26">
        <f t="shared" si="101"/>
        <v>39725857.515590005</v>
      </c>
      <c r="L263" s="5"/>
      <c r="P263" s="66"/>
      <c r="Q263" s="27"/>
    </row>
    <row r="264" spans="2:17" ht="31.5" x14ac:dyDescent="0.25">
      <c r="B264" s="5"/>
      <c r="C264" s="5"/>
      <c r="D264" s="9" t="s">
        <v>25</v>
      </c>
      <c r="E264" s="26">
        <f t="shared" ref="E264:K264" si="102">E16+E40+E136+E232</f>
        <v>1237042.8</v>
      </c>
      <c r="F264" s="26">
        <f t="shared" si="102"/>
        <v>1540015.5999999999</v>
      </c>
      <c r="G264" s="26">
        <f t="shared" si="102"/>
        <v>1627516.4</v>
      </c>
      <c r="H264" s="26">
        <f t="shared" si="102"/>
        <v>1708892.1999999997</v>
      </c>
      <c r="I264" s="26">
        <f t="shared" si="102"/>
        <v>1879781.42</v>
      </c>
      <c r="J264" s="26">
        <f t="shared" si="102"/>
        <v>2067759.5419999999</v>
      </c>
      <c r="K264" s="26">
        <f t="shared" si="102"/>
        <v>2274535.4542</v>
      </c>
      <c r="L264" s="5"/>
      <c r="P264" s="66"/>
      <c r="Q264" s="27"/>
    </row>
    <row r="265" spans="2:17" ht="31.5" x14ac:dyDescent="0.25">
      <c r="B265" s="5"/>
      <c r="C265" s="5"/>
      <c r="D265" s="9" t="s">
        <v>26</v>
      </c>
      <c r="E265" s="26">
        <f t="shared" ref="E265:K265" si="103">E17+E41+E137+E233</f>
        <v>0</v>
      </c>
      <c r="F265" s="26">
        <f t="shared" si="103"/>
        <v>0</v>
      </c>
      <c r="G265" s="26">
        <f t="shared" si="103"/>
        <v>0</v>
      </c>
      <c r="H265" s="26">
        <f t="shared" si="103"/>
        <v>0</v>
      </c>
      <c r="I265" s="26">
        <f t="shared" si="103"/>
        <v>0</v>
      </c>
      <c r="J265" s="26">
        <f t="shared" si="103"/>
        <v>0</v>
      </c>
      <c r="K265" s="26">
        <f t="shared" si="103"/>
        <v>0</v>
      </c>
      <c r="L265" s="5"/>
      <c r="P265" s="66"/>
      <c r="Q265" s="27"/>
    </row>
    <row r="266" spans="2:17" ht="15.75" x14ac:dyDescent="0.25">
      <c r="B266" s="5"/>
      <c r="C266" s="5"/>
      <c r="D266" s="5" t="s">
        <v>27</v>
      </c>
      <c r="E266" s="26">
        <f t="shared" ref="E266:K266" si="104">E18+E42+E138+E234</f>
        <v>4281643.9000000004</v>
      </c>
      <c r="F266" s="26">
        <f t="shared" si="104"/>
        <v>1389029.1</v>
      </c>
      <c r="G266" s="26">
        <f t="shared" si="104"/>
        <v>1546502.5</v>
      </c>
      <c r="H266" s="26">
        <f t="shared" si="104"/>
        <v>1700425.4</v>
      </c>
      <c r="I266" s="26">
        <f t="shared" si="104"/>
        <v>1870467.94</v>
      </c>
      <c r="J266" s="26">
        <f t="shared" si="104"/>
        <v>2057514.6940000001</v>
      </c>
      <c r="K266" s="26">
        <f t="shared" si="104"/>
        <v>2263266.1694</v>
      </c>
      <c r="L266" s="5"/>
      <c r="P266" s="66"/>
      <c r="Q266" s="27"/>
    </row>
    <row r="267" spans="2:17" ht="31.5" x14ac:dyDescent="0.25">
      <c r="B267" s="5"/>
      <c r="C267" s="5"/>
      <c r="D267" s="9" t="s">
        <v>183</v>
      </c>
      <c r="E267" s="39">
        <f>E268+E269</f>
        <v>28770780.899999999</v>
      </c>
      <c r="F267" s="39">
        <f t="shared" ref="F267:K267" si="105">F268+F269</f>
        <v>29861401.699999999</v>
      </c>
      <c r="G267" s="39">
        <f t="shared" si="105"/>
        <v>31436490.299999997</v>
      </c>
      <c r="H267" s="39">
        <f t="shared" si="105"/>
        <v>33431925.189999998</v>
      </c>
      <c r="I267" s="39">
        <f>I268+I269</f>
        <v>36732873.919</v>
      </c>
      <c r="J267" s="39">
        <f t="shared" si="105"/>
        <v>40333457.391900003</v>
      </c>
      <c r="K267" s="39">
        <f t="shared" si="105"/>
        <v>44263659.139190003</v>
      </c>
      <c r="L267" s="5"/>
      <c r="P267" s="66"/>
      <c r="Q267" s="27"/>
    </row>
    <row r="268" spans="2:17" ht="15.75" x14ac:dyDescent="0.25">
      <c r="B268" s="5"/>
      <c r="C268" s="5"/>
      <c r="D268" s="8" t="s">
        <v>29</v>
      </c>
      <c r="E268" s="26">
        <f>E263</f>
        <v>23252094.199999999</v>
      </c>
      <c r="F268" s="26">
        <f t="shared" ref="F268:K268" si="106">F263</f>
        <v>26932357</v>
      </c>
      <c r="G268" s="26">
        <f t="shared" si="106"/>
        <v>28262471.399999999</v>
      </c>
      <c r="H268" s="26">
        <f t="shared" si="106"/>
        <v>30022607.59</v>
      </c>
      <c r="I268" s="26">
        <f t="shared" si="106"/>
        <v>32982624.559</v>
      </c>
      <c r="J268" s="26">
        <f t="shared" si="106"/>
        <v>36208183.155900002</v>
      </c>
      <c r="K268" s="26">
        <f t="shared" si="106"/>
        <v>39725857.515590005</v>
      </c>
      <c r="L268" s="5"/>
    </row>
    <row r="269" spans="2:17" ht="15.75" x14ac:dyDescent="0.25">
      <c r="B269" s="5"/>
      <c r="C269" s="5"/>
      <c r="D269" s="8" t="s">
        <v>30</v>
      </c>
      <c r="E269" s="23">
        <f>E264+E266</f>
        <v>5518686.7000000002</v>
      </c>
      <c r="F269" s="23">
        <f t="shared" ref="F269:K269" si="107">F264+F266</f>
        <v>2929044.7</v>
      </c>
      <c r="G269" s="23">
        <f t="shared" si="107"/>
        <v>3174018.9</v>
      </c>
      <c r="H269" s="23">
        <f t="shared" si="107"/>
        <v>3409317.5999999996</v>
      </c>
      <c r="I269" s="23">
        <f t="shared" si="107"/>
        <v>3750249.36</v>
      </c>
      <c r="J269" s="23">
        <f t="shared" si="107"/>
        <v>4125274.236</v>
      </c>
      <c r="K269" s="23">
        <f t="shared" si="107"/>
        <v>4537801.6236000005</v>
      </c>
      <c r="L269" s="5"/>
    </row>
    <row r="270" spans="2:17" x14ac:dyDescent="0.25">
      <c r="E270" s="64"/>
    </row>
    <row r="271" spans="2:17" x14ac:dyDescent="0.25">
      <c r="E271" s="27"/>
      <c r="F271" s="27"/>
      <c r="G271" s="27"/>
      <c r="H271" s="27"/>
      <c r="I271" s="27"/>
      <c r="J271" s="27"/>
      <c r="K271" s="27"/>
    </row>
    <row r="272" spans="2:17" x14ac:dyDescent="0.25">
      <c r="B272" s="1" t="s">
        <v>192</v>
      </c>
      <c r="C272" s="1"/>
      <c r="D272" s="1"/>
      <c r="E272" s="1"/>
      <c r="F272" s="1"/>
      <c r="G272" s="1"/>
    </row>
    <row r="273" spans="2:11" x14ac:dyDescent="0.25">
      <c r="B273" s="1"/>
      <c r="C273" s="1"/>
      <c r="D273" s="1"/>
      <c r="E273" s="1"/>
      <c r="F273" s="1"/>
      <c r="G273" s="1"/>
    </row>
    <row r="274" spans="2:11" x14ac:dyDescent="0.25">
      <c r="B274" s="1" t="s">
        <v>239</v>
      </c>
    </row>
    <row r="275" spans="2:11" x14ac:dyDescent="0.25">
      <c r="F275" s="27"/>
      <c r="G275" s="27"/>
      <c r="H275" s="27"/>
      <c r="I275" s="27"/>
      <c r="J275" s="27"/>
      <c r="K275" s="27"/>
    </row>
    <row r="276" spans="2:11" hidden="1" x14ac:dyDescent="0.25">
      <c r="B276" s="1" t="s">
        <v>193</v>
      </c>
      <c r="F276" s="27"/>
      <c r="G276" s="27"/>
      <c r="H276" s="27"/>
      <c r="I276" s="27"/>
      <c r="J276" s="27"/>
      <c r="K276" s="27"/>
    </row>
    <row r="277" spans="2:11" hidden="1" x14ac:dyDescent="0.25">
      <c r="B277" s="109" t="s">
        <v>224</v>
      </c>
      <c r="C277" s="109"/>
      <c r="D277" s="109"/>
      <c r="E277" t="s">
        <v>219</v>
      </c>
    </row>
    <row r="279" spans="2:11" x14ac:dyDescent="0.25">
      <c r="E279" s="63"/>
    </row>
    <row r="280" spans="2:11" x14ac:dyDescent="0.25">
      <c r="E280" s="27"/>
      <c r="F280" s="27"/>
      <c r="G280" s="27"/>
      <c r="H280" s="27"/>
      <c r="I280" s="27"/>
      <c r="J280" s="27"/>
      <c r="K280" s="27"/>
    </row>
    <row r="282" spans="2:11" x14ac:dyDescent="0.25">
      <c r="E282" s="63"/>
    </row>
    <row r="283" spans="2:11" x14ac:dyDescent="0.25">
      <c r="F283" s="27"/>
      <c r="G283" s="27"/>
      <c r="H283" s="27"/>
    </row>
    <row r="284" spans="2:11" x14ac:dyDescent="0.25">
      <c r="E284" s="64"/>
    </row>
    <row r="285" spans="2:11" x14ac:dyDescent="0.25">
      <c r="F285" s="27"/>
      <c r="G285" s="27"/>
      <c r="H285" s="27"/>
    </row>
    <row r="286" spans="2:11" x14ac:dyDescent="0.25">
      <c r="E286" s="64"/>
    </row>
    <row r="287" spans="2:11" x14ac:dyDescent="0.25">
      <c r="E287" s="64"/>
    </row>
    <row r="288" spans="2:11" x14ac:dyDescent="0.25">
      <c r="E288" s="64"/>
    </row>
    <row r="293" spans="7:9" x14ac:dyDescent="0.25">
      <c r="G293" s="65"/>
      <c r="H293" s="67"/>
      <c r="I293" s="67"/>
    </row>
    <row r="294" spans="7:9" x14ac:dyDescent="0.25">
      <c r="G294" s="65"/>
      <c r="H294" s="67"/>
      <c r="I294" s="67"/>
    </row>
    <row r="295" spans="7:9" x14ac:dyDescent="0.25">
      <c r="G295" s="65"/>
      <c r="H295" s="67"/>
      <c r="I295" s="67"/>
    </row>
    <row r="296" spans="7:9" x14ac:dyDescent="0.25">
      <c r="G296" s="65"/>
      <c r="H296" s="67"/>
      <c r="I296" s="67"/>
    </row>
    <row r="297" spans="7:9" x14ac:dyDescent="0.25">
      <c r="G297" s="65"/>
      <c r="H297" s="67"/>
      <c r="I297" s="67"/>
    </row>
    <row r="298" spans="7:9" x14ac:dyDescent="0.25">
      <c r="G298" s="65"/>
      <c r="H298" s="67"/>
      <c r="I298" s="67"/>
    </row>
    <row r="299" spans="7:9" x14ac:dyDescent="0.25">
      <c r="G299" s="65"/>
      <c r="H299" s="67"/>
      <c r="I299" s="67"/>
    </row>
    <row r="300" spans="7:9" x14ac:dyDescent="0.25">
      <c r="G300" s="65"/>
      <c r="H300" s="67"/>
      <c r="I300" s="67"/>
    </row>
    <row r="301" spans="7:9" x14ac:dyDescent="0.25">
      <c r="G301" s="65"/>
      <c r="H301" s="67"/>
      <c r="I301" s="67"/>
    </row>
    <row r="302" spans="7:9" x14ac:dyDescent="0.25">
      <c r="G302" s="65"/>
      <c r="H302" s="67"/>
      <c r="I302" s="67"/>
    </row>
    <row r="303" spans="7:9" x14ac:dyDescent="0.25">
      <c r="G303" s="65"/>
      <c r="H303" s="67"/>
      <c r="I303" s="67"/>
    </row>
    <row r="304" spans="7:9" x14ac:dyDescent="0.25">
      <c r="G304" s="65"/>
      <c r="H304" s="67"/>
      <c r="I304" s="67"/>
    </row>
    <row r="305" spans="7:9" x14ac:dyDescent="0.25">
      <c r="G305" s="65"/>
      <c r="H305" s="67"/>
      <c r="I305" s="67"/>
    </row>
    <row r="306" spans="7:9" x14ac:dyDescent="0.25">
      <c r="G306" s="65"/>
      <c r="H306" s="67"/>
      <c r="I306" s="67"/>
    </row>
    <row r="307" spans="7:9" x14ac:dyDescent="0.25">
      <c r="G307" s="65"/>
      <c r="H307" s="67"/>
      <c r="I307" s="67"/>
    </row>
    <row r="308" spans="7:9" x14ac:dyDescent="0.25">
      <c r="G308" s="65"/>
      <c r="H308" s="67"/>
      <c r="I308" s="67"/>
    </row>
  </sheetData>
  <mergeCells count="40">
    <mergeCell ref="B8:L8"/>
    <mergeCell ref="B9:L9"/>
    <mergeCell ref="B10:L10"/>
    <mergeCell ref="E12:K12"/>
    <mergeCell ref="D12:D13"/>
    <mergeCell ref="B12:B13"/>
    <mergeCell ref="C12:C13"/>
    <mergeCell ref="D134:K134"/>
    <mergeCell ref="D14:K14"/>
    <mergeCell ref="D22:K22"/>
    <mergeCell ref="D30:K30"/>
    <mergeCell ref="D38:K38"/>
    <mergeCell ref="D46:K46"/>
    <mergeCell ref="D54:K54"/>
    <mergeCell ref="D62:K62"/>
    <mergeCell ref="D70:K70"/>
    <mergeCell ref="D78:K78"/>
    <mergeCell ref="D86:K86"/>
    <mergeCell ref="D94:K94"/>
    <mergeCell ref="D102:K102"/>
    <mergeCell ref="D110:K110"/>
    <mergeCell ref="D118:K118"/>
    <mergeCell ref="D126:K126"/>
    <mergeCell ref="D142:K142"/>
    <mergeCell ref="D150:K150"/>
    <mergeCell ref="D158:K158"/>
    <mergeCell ref="D166:K166"/>
    <mergeCell ref="D174:K174"/>
    <mergeCell ref="D182:K182"/>
    <mergeCell ref="D198:K198"/>
    <mergeCell ref="D206:K206"/>
    <mergeCell ref="D214:K214"/>
    <mergeCell ref="D222:K222"/>
    <mergeCell ref="D190:K190"/>
    <mergeCell ref="B277:D277"/>
    <mergeCell ref="D262:K262"/>
    <mergeCell ref="D230:K230"/>
    <mergeCell ref="D238:K238"/>
    <mergeCell ref="D246:K246"/>
    <mergeCell ref="D254:K254"/>
  </mergeCells>
  <pageMargins left="0.31496062992125984" right="0" top="0" bottom="0" header="0.31496062992125984" footer="0.31496062992125984"/>
  <pageSetup paperSize="9" scale="75" fitToHeight="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13"/>
  <sheetViews>
    <sheetView workbookViewId="0">
      <selection activeCell="Q28" sqref="Q28"/>
    </sheetView>
  </sheetViews>
  <sheetFormatPr defaultRowHeight="15" x14ac:dyDescent="0.25"/>
  <sheetData>
    <row r="2" spans="1:9" x14ac:dyDescent="0.25">
      <c r="F2" s="1" t="s">
        <v>41</v>
      </c>
    </row>
    <row r="3" spans="1:9" x14ac:dyDescent="0.25">
      <c r="F3" s="1" t="s">
        <v>1</v>
      </c>
    </row>
    <row r="4" spans="1:9" x14ac:dyDescent="0.25">
      <c r="F4" s="1" t="s">
        <v>2</v>
      </c>
    </row>
    <row r="5" spans="1:9" x14ac:dyDescent="0.25">
      <c r="F5" s="1" t="s">
        <v>3</v>
      </c>
    </row>
    <row r="6" spans="1:9" x14ac:dyDescent="0.25">
      <c r="F6" s="1" t="s">
        <v>4</v>
      </c>
    </row>
    <row r="8" spans="1:9" ht="18.75" x14ac:dyDescent="0.3">
      <c r="A8" s="79" t="s">
        <v>42</v>
      </c>
      <c r="B8" s="79"/>
      <c r="C8" s="79"/>
      <c r="D8" s="79"/>
      <c r="E8" s="79"/>
      <c r="F8" s="79"/>
      <c r="G8" s="79"/>
      <c r="H8" s="79"/>
      <c r="I8" s="79"/>
    </row>
    <row r="9" spans="1:9" ht="18.75" x14ac:dyDescent="0.3">
      <c r="A9" s="79" t="s">
        <v>43</v>
      </c>
      <c r="B9" s="79"/>
      <c r="C9" s="79"/>
      <c r="D9" s="79"/>
      <c r="E9" s="79"/>
      <c r="F9" s="79"/>
      <c r="G9" s="79"/>
      <c r="H9" s="79"/>
      <c r="I9" s="79"/>
    </row>
    <row r="11" spans="1:9" ht="15.75" x14ac:dyDescent="0.25">
      <c r="A11" s="14" t="s">
        <v>44</v>
      </c>
      <c r="B11" s="118" t="s">
        <v>47</v>
      </c>
      <c r="C11" s="118"/>
      <c r="D11" s="118"/>
      <c r="E11" s="118"/>
      <c r="F11" s="118"/>
      <c r="G11" s="118"/>
      <c r="H11" s="118"/>
      <c r="I11" s="118"/>
    </row>
    <row r="12" spans="1:9" ht="15.75" x14ac:dyDescent="0.25">
      <c r="A12" s="14" t="s">
        <v>45</v>
      </c>
      <c r="B12" s="118" t="s">
        <v>48</v>
      </c>
      <c r="C12" s="118"/>
      <c r="D12" s="118"/>
      <c r="E12" s="118"/>
      <c r="F12" s="118"/>
      <c r="G12" s="118"/>
      <c r="H12" s="118"/>
      <c r="I12" s="118"/>
    </row>
    <row r="13" spans="1:9" ht="15.75" x14ac:dyDescent="0.25">
      <c r="A13" s="14" t="s">
        <v>46</v>
      </c>
      <c r="B13" s="118" t="s">
        <v>49</v>
      </c>
      <c r="C13" s="118"/>
      <c r="D13" s="118"/>
      <c r="E13" s="118"/>
      <c r="F13" s="118"/>
      <c r="G13" s="118"/>
      <c r="H13" s="118"/>
      <c r="I13" s="118"/>
    </row>
  </sheetData>
  <mergeCells count="5">
    <mergeCell ref="A8:I8"/>
    <mergeCell ref="A9:I9"/>
    <mergeCell ref="B11:I11"/>
    <mergeCell ref="B12:I12"/>
    <mergeCell ref="B13:I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Программа 1</vt:lpstr>
      <vt:lpstr>Программа 2</vt:lpstr>
      <vt:lpstr>Программа 3</vt:lpstr>
      <vt:lpstr>Программа 4</vt:lpstr>
      <vt:lpstr>Приложение 2</vt:lpstr>
      <vt:lpstr>Приложение 3</vt:lpstr>
      <vt:lpstr>'Программа 1'!Область_печати</vt:lpstr>
      <vt:lpstr>'Программа 2'!Область_печати</vt:lpstr>
      <vt:lpstr>'Программа 3'!Область_печати</vt:lpstr>
      <vt:lpstr>'Программа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2024-04-22T11:25:18Z</dcterms:modified>
</cp:coreProperties>
</file>